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BC4579C1-35AC-4ADC-B7D6-B2EE1114185E}" xr6:coauthVersionLast="47" xr6:coauthVersionMax="47" xr10:uidLastSave="{00000000-0000-0000-0000-000000000000}"/>
  <bookViews>
    <workbookView xWindow="-120" yWindow="-120" windowWidth="29040" windowHeight="15720" tabRatio="915" xr2:uid="{00000000-000D-0000-FFFF-FFFF00000000}"/>
  </bookViews>
  <sheets>
    <sheet name="Capa" sheetId="1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9" i="10" l="1"/>
  <c r="U16" i="10"/>
  <c r="U15" i="10"/>
  <c r="U14" i="10"/>
  <c r="U13" i="10"/>
  <c r="U12" i="10"/>
  <c r="U11" i="10"/>
  <c r="U17" i="10"/>
  <c r="U18" i="10"/>
  <c r="L18" i="10"/>
  <c r="CR18" i="6"/>
  <c r="CR15" i="6"/>
  <c r="CR7" i="6"/>
  <c r="CR8" i="6" s="1"/>
  <c r="L7" i="10"/>
  <c r="K7" i="10"/>
  <c r="J7" i="10"/>
  <c r="I7" i="10"/>
  <c r="CR19" i="6" l="1"/>
  <c r="CR21" i="6"/>
  <c r="CR23" i="6"/>
  <c r="CR26" i="6" s="1"/>
  <c r="CQ18" i="6"/>
  <c r="CO15" i="6"/>
  <c r="CQ15" i="6"/>
  <c r="CQ19" i="6"/>
  <c r="CQ21" i="6" s="1"/>
  <c r="CQ23" i="6" s="1"/>
  <c r="CQ26" i="6" s="1"/>
  <c r="CM15" i="6"/>
  <c r="CN15" i="6"/>
  <c r="CP15" i="6"/>
  <c r="CP18" i="6"/>
  <c r="CO18" i="6"/>
  <c r="CN18" i="6"/>
  <c r="CN19" i="6" s="1"/>
  <c r="CN21" i="6" s="1"/>
  <c r="CN23" i="6" s="1"/>
  <c r="CN26" i="6" s="1"/>
  <c r="CM18" i="6"/>
  <c r="U47" i="10"/>
  <c r="U21" i="10"/>
  <c r="CL18" i="6"/>
  <c r="H11" i="10"/>
  <c r="CL15" i="6"/>
  <c r="CL19" i="6" s="1"/>
  <c r="CL21" i="6" s="1"/>
  <c r="CL23" i="6" s="1"/>
  <c r="CL26" i="6" s="1"/>
  <c r="I11" i="10" l="1"/>
  <c r="L11" i="10"/>
  <c r="L15" i="10" s="1"/>
  <c r="CO19" i="6"/>
  <c r="CO21" i="6" s="1"/>
  <c r="CO23" i="6" s="1"/>
  <c r="CO26" i="6" s="1"/>
  <c r="CM19" i="6"/>
  <c r="CM21" i="6" s="1"/>
  <c r="CM23" i="6" s="1"/>
  <c r="CM26" i="6" s="1"/>
  <c r="CP19" i="6"/>
  <c r="CP21" i="6" s="1"/>
  <c r="CP23" i="6" s="1"/>
  <c r="CP26" i="6" s="1"/>
  <c r="K11" i="10"/>
  <c r="K15" i="10" s="1"/>
  <c r="K18" i="10" s="1"/>
  <c r="W13" i="10"/>
  <c r="W16" i="10"/>
  <c r="W17" i="10"/>
  <c r="W19" i="10"/>
  <c r="J11" i="10"/>
  <c r="W14" i="10"/>
  <c r="W12" i="10"/>
  <c r="I15" i="10"/>
  <c r="I18" i="10" s="1"/>
  <c r="H15" i="10"/>
  <c r="CK18" i="6"/>
  <c r="CK15" i="6"/>
  <c r="CJ18" i="6"/>
  <c r="J15" i="10" l="1"/>
  <c r="J18" i="10" s="1"/>
  <c r="W11" i="10"/>
  <c r="CK19" i="6"/>
  <c r="CK21" i="6" s="1"/>
  <c r="CK23" i="6" s="1"/>
  <c r="CK26" i="6" s="1"/>
  <c r="H18" i="10"/>
  <c r="CJ15" i="6"/>
  <c r="CJ19" i="6" s="1"/>
  <c r="CJ21" i="6" s="1"/>
  <c r="CJ23" i="6" s="1"/>
  <c r="CJ26" i="6" s="1"/>
  <c r="CI18" i="6"/>
  <c r="CI15" i="6"/>
  <c r="CI19" i="6" l="1"/>
  <c r="CI21" i="6" s="1"/>
  <c r="CI23" i="6" s="1"/>
  <c r="CI26" i="6" s="1"/>
  <c r="W18" i="10"/>
  <c r="W15" i="10"/>
  <c r="CH15" i="6"/>
  <c r="CH18" i="6"/>
  <c r="CH19" i="6" l="1"/>
  <c r="CH21" i="6" s="1"/>
  <c r="CH23" i="6" s="1"/>
  <c r="CH26" i="6" s="1"/>
  <c r="CG18" i="6" l="1"/>
  <c r="CG15" i="6"/>
  <c r="CG19" i="6" s="1"/>
  <c r="CG21" i="6" s="1"/>
  <c r="CG23" i="6" s="1"/>
  <c r="CG26" i="6" s="1"/>
  <c r="CF15" i="6"/>
  <c r="CF18" i="6"/>
  <c r="CE15" i="6"/>
  <c r="CE18" i="6"/>
  <c r="CD15" i="6"/>
  <c r="CC15" i="6"/>
  <c r="CD18" i="6"/>
  <c r="Z18" i="6"/>
  <c r="AD18" i="6"/>
  <c r="AP18" i="6"/>
  <c r="AT18" i="6"/>
  <c r="BF18" i="6"/>
  <c r="BJ18" i="6"/>
  <c r="BZ18" i="6"/>
  <c r="AE18" i="6"/>
  <c r="BK18" i="6"/>
  <c r="P18" i="6"/>
  <c r="M18" i="6"/>
  <c r="Q18" i="6"/>
  <c r="U18" i="6"/>
  <c r="Y18" i="6"/>
  <c r="AC18" i="6"/>
  <c r="AG18" i="6"/>
  <c r="AK18" i="6"/>
  <c r="AO18" i="6"/>
  <c r="AS18" i="6"/>
  <c r="AW18" i="6"/>
  <c r="BA18" i="6"/>
  <c r="BE18" i="6"/>
  <c r="BI18" i="6"/>
  <c r="BM18" i="6"/>
  <c r="BQ18" i="6"/>
  <c r="BU18" i="6"/>
  <c r="BY18" i="6"/>
  <c r="CC18" i="6"/>
  <c r="L15" i="6"/>
  <c r="P15" i="6"/>
  <c r="T15" i="6"/>
  <c r="X15" i="6"/>
  <c r="AB15" i="6"/>
  <c r="AF15" i="6"/>
  <c r="AJ15" i="6"/>
  <c r="AN15" i="6"/>
  <c r="AR15" i="6"/>
  <c r="AV15" i="6"/>
  <c r="AZ15" i="6"/>
  <c r="BD15" i="6"/>
  <c r="BH15" i="6"/>
  <c r="BL15" i="6"/>
  <c r="BP15" i="6"/>
  <c r="BT15" i="6"/>
  <c r="BX15" i="6"/>
  <c r="CB15" i="6"/>
  <c r="N15" i="6"/>
  <c r="V15" i="6"/>
  <c r="AD15" i="6"/>
  <c r="AL15" i="6"/>
  <c r="AT15" i="6"/>
  <c r="BB15" i="6"/>
  <c r="BJ15" i="6"/>
  <c r="BR15" i="6"/>
  <c r="BZ15" i="6"/>
  <c r="I18" i="6"/>
  <c r="BV18" i="6"/>
  <c r="Q15" i="6"/>
  <c r="Y15" i="6"/>
  <c r="AC15" i="6"/>
  <c r="AG15" i="6"/>
  <c r="AK15" i="6"/>
  <c r="AO15" i="6"/>
  <c r="AS15" i="6"/>
  <c r="AW15" i="6"/>
  <c r="BA15" i="6"/>
  <c r="BE15" i="6"/>
  <c r="BI15" i="6"/>
  <c r="BM15" i="6"/>
  <c r="BQ15" i="6"/>
  <c r="BU15" i="6"/>
  <c r="BY15" i="6"/>
  <c r="J18" i="6"/>
  <c r="N18" i="6"/>
  <c r="R18" i="6"/>
  <c r="V18" i="6"/>
  <c r="AH18" i="6"/>
  <c r="AL18" i="6"/>
  <c r="AX18" i="6"/>
  <c r="BB18" i="6"/>
  <c r="BN18" i="6"/>
  <c r="BR18" i="6"/>
  <c r="M15" i="6"/>
  <c r="U15" i="6"/>
  <c r="R15" i="6"/>
  <c r="AH15" i="6"/>
  <c r="AP15" i="6"/>
  <c r="AX15" i="6"/>
  <c r="BF15" i="6"/>
  <c r="BN15" i="6"/>
  <c r="BV15" i="6"/>
  <c r="K18" i="6"/>
  <c r="O18" i="6"/>
  <c r="S18" i="6"/>
  <c r="W18" i="6"/>
  <c r="AA18" i="6"/>
  <c r="AI18" i="6"/>
  <c r="AM18" i="6"/>
  <c r="AQ18" i="6"/>
  <c r="AU18" i="6"/>
  <c r="AY18" i="6"/>
  <c r="BC18" i="6"/>
  <c r="BG18" i="6"/>
  <c r="BO18" i="6"/>
  <c r="BS18" i="6"/>
  <c r="BW18" i="6"/>
  <c r="CA18" i="6"/>
  <c r="J15" i="6"/>
  <c r="Z15" i="6"/>
  <c r="L18" i="6"/>
  <c r="T18" i="6"/>
  <c r="X18" i="6"/>
  <c r="AB18" i="6"/>
  <c r="AF18" i="6"/>
  <c r="AJ18" i="6"/>
  <c r="AN18" i="6"/>
  <c r="AR18" i="6"/>
  <c r="AV18" i="6"/>
  <c r="AZ18" i="6"/>
  <c r="BD18" i="6"/>
  <c r="BH18" i="6"/>
  <c r="BL18" i="6"/>
  <c r="BP18" i="6"/>
  <c r="BT18" i="6"/>
  <c r="BX18" i="6"/>
  <c r="CB18" i="6"/>
  <c r="K15" i="6"/>
  <c r="O15" i="6"/>
  <c r="S15" i="6"/>
  <c r="W15" i="6"/>
  <c r="AA15" i="6"/>
  <c r="AE15" i="6"/>
  <c r="AI15" i="6"/>
  <c r="AM15" i="6"/>
  <c r="AQ15" i="6"/>
  <c r="AU15" i="6"/>
  <c r="AY15" i="6"/>
  <c r="BC15" i="6"/>
  <c r="BG15" i="6"/>
  <c r="BK15" i="6"/>
  <c r="BO15" i="6"/>
  <c r="BS15" i="6"/>
  <c r="BW15" i="6"/>
  <c r="CA15" i="6"/>
  <c r="V19" i="6" l="1"/>
  <c r="V21" i="6" s="1"/>
  <c r="V23" i="6" s="1"/>
  <c r="V26" i="6" s="1"/>
  <c r="AL19" i="6"/>
  <c r="AL21" i="6" s="1"/>
  <c r="AL23" i="6" s="1"/>
  <c r="AL26" i="6" s="1"/>
  <c r="AB19" i="6"/>
  <c r="AB21" i="6" s="1"/>
  <c r="AB23" i="6" s="1"/>
  <c r="AB26" i="6" s="1"/>
  <c r="AJ19" i="6"/>
  <c r="AJ21" i="6" s="1"/>
  <c r="AJ23" i="6" s="1"/>
  <c r="AJ26" i="6" s="1"/>
  <c r="BX19" i="6"/>
  <c r="BX21" i="6" s="1"/>
  <c r="BX23" i="6" s="1"/>
  <c r="BX26" i="6" s="1"/>
  <c r="CB19" i="6"/>
  <c r="CB21" i="6" s="1"/>
  <c r="CB23" i="6" s="1"/>
  <c r="CB26" i="6" s="1"/>
  <c r="AR19" i="6"/>
  <c r="AR21" i="6" s="1"/>
  <c r="AR23" i="6" s="1"/>
  <c r="AR26" i="6" s="1"/>
  <c r="T19" i="6"/>
  <c r="T21" i="6" s="1"/>
  <c r="T23" i="6" s="1"/>
  <c r="T26" i="6" s="1"/>
  <c r="BH19" i="6"/>
  <c r="BH21" i="6" s="1"/>
  <c r="BH23" i="6" s="1"/>
  <c r="BH26" i="6" s="1"/>
  <c r="BP19" i="6"/>
  <c r="BP21" i="6" s="1"/>
  <c r="BP23" i="6" s="1"/>
  <c r="BP26" i="6" s="1"/>
  <c r="AV19" i="6"/>
  <c r="AV21" i="6" s="1"/>
  <c r="AV23" i="6" s="1"/>
  <c r="AV26" i="6" s="1"/>
  <c r="BR19" i="6"/>
  <c r="BR21" i="6" s="1"/>
  <c r="BR23" i="6" s="1"/>
  <c r="BR26" i="6" s="1"/>
  <c r="AZ19" i="6"/>
  <c r="AZ21" i="6" s="1"/>
  <c r="AZ23" i="6" s="1"/>
  <c r="AZ26" i="6" s="1"/>
  <c r="BB19" i="6"/>
  <c r="BB21" i="6" s="1"/>
  <c r="BB23" i="6" s="1"/>
  <c r="BB26" i="6" s="1"/>
  <c r="BF19" i="6"/>
  <c r="BF21" i="6" s="1"/>
  <c r="BF23" i="6" s="1"/>
  <c r="BF26" i="6" s="1"/>
  <c r="CF19" i="6"/>
  <c r="CF21" i="6" s="1"/>
  <c r="CF23" i="6" s="1"/>
  <c r="CF26" i="6" s="1"/>
  <c r="AY19" i="6"/>
  <c r="AY21" i="6" s="1"/>
  <c r="AY23" i="6" s="1"/>
  <c r="AY26" i="6" s="1"/>
  <c r="AI19" i="6"/>
  <c r="AI21" i="6" s="1"/>
  <c r="AI23" i="6" s="1"/>
  <c r="AI26" i="6" s="1"/>
  <c r="CD19" i="6"/>
  <c r="CD21" i="6" s="1"/>
  <c r="CD23" i="6" s="1"/>
  <c r="CD26" i="6" s="1"/>
  <c r="U19" i="6"/>
  <c r="U21" i="6" s="1"/>
  <c r="U23" i="6" s="1"/>
  <c r="U26" i="6" s="1"/>
  <c r="L19" i="6"/>
  <c r="L21" i="6" s="1"/>
  <c r="L23" i="6" s="1"/>
  <c r="L26" i="6" s="1"/>
  <c r="BM19" i="6"/>
  <c r="BM21" i="6" s="1"/>
  <c r="BM23" i="6" s="1"/>
  <c r="BM26" i="6" s="1"/>
  <c r="AW19" i="6"/>
  <c r="AW21" i="6" s="1"/>
  <c r="AW23" i="6" s="1"/>
  <c r="AW26" i="6" s="1"/>
  <c r="AG19" i="6"/>
  <c r="AG21" i="6" s="1"/>
  <c r="AG23" i="6" s="1"/>
  <c r="AG26" i="6" s="1"/>
  <c r="CE19" i="6"/>
  <c r="CE21" i="6" s="1"/>
  <c r="CE23" i="6" s="1"/>
  <c r="CE26" i="6" s="1"/>
  <c r="CC19" i="6"/>
  <c r="BE19" i="6"/>
  <c r="BE21" i="6" s="1"/>
  <c r="BE23" i="6" s="1"/>
  <c r="BE26" i="6" s="1"/>
  <c r="AO19" i="6"/>
  <c r="AO21" i="6" s="1"/>
  <c r="AO23" i="6" s="1"/>
  <c r="AO26" i="6" s="1"/>
  <c r="BO19" i="6"/>
  <c r="BO21" i="6" s="1"/>
  <c r="BO23" i="6" s="1"/>
  <c r="BO26" i="6" s="1"/>
  <c r="BK19" i="6"/>
  <c r="BK21" i="6" s="1"/>
  <c r="BK23" i="6" s="1"/>
  <c r="BK26" i="6" s="1"/>
  <c r="N19" i="6"/>
  <c r="N21" i="6" s="1"/>
  <c r="N23" i="6" s="1"/>
  <c r="N26" i="6" s="1"/>
  <c r="BQ19" i="6"/>
  <c r="BQ21" i="6" s="1"/>
  <c r="BA19" i="6"/>
  <c r="BA21" i="6" s="1"/>
  <c r="BA23" i="6" s="1"/>
  <c r="BA26" i="6" s="1"/>
  <c r="AK19" i="6"/>
  <c r="AK21" i="6" s="1"/>
  <c r="AK23" i="6" s="1"/>
  <c r="AK26" i="6" s="1"/>
  <c r="P19" i="6"/>
  <c r="P21" i="6" s="1"/>
  <c r="P23" i="6" s="1"/>
  <c r="P26" i="6" s="1"/>
  <c r="AT19" i="6"/>
  <c r="AT21" i="6" s="1"/>
  <c r="AT23" i="6" s="1"/>
  <c r="AT26" i="6" s="1"/>
  <c r="AA19" i="6"/>
  <c r="AA21" i="6" s="1"/>
  <c r="AA23" i="6" s="1"/>
  <c r="AA26" i="6" s="1"/>
  <c r="K19" i="6"/>
  <c r="K21" i="6" s="1"/>
  <c r="K23" i="6" s="1"/>
  <c r="K26" i="6" s="1"/>
  <c r="Z19" i="6"/>
  <c r="Z21" i="6" s="1"/>
  <c r="Z23" i="6" s="1"/>
  <c r="Z26" i="6" s="1"/>
  <c r="AD19" i="6"/>
  <c r="AD21" i="6" s="1"/>
  <c r="AD23" i="6" s="1"/>
  <c r="AD26" i="6" s="1"/>
  <c r="BJ19" i="6"/>
  <c r="BJ21" i="6" s="1"/>
  <c r="BJ23" i="6" s="1"/>
  <c r="BJ26" i="6" s="1"/>
  <c r="AU19" i="6"/>
  <c r="AU21" i="6" s="1"/>
  <c r="AU23" i="6" s="1"/>
  <c r="AU26" i="6" s="1"/>
  <c r="Q19" i="6"/>
  <c r="Q21" i="6" s="1"/>
  <c r="Q23" i="6" s="1"/>
  <c r="Q26" i="6" s="1"/>
  <c r="AE19" i="6"/>
  <c r="AE21" i="6" s="1"/>
  <c r="AE23" i="6" s="1"/>
  <c r="AE26" i="6" s="1"/>
  <c r="J19" i="6"/>
  <c r="J21" i="6" s="1"/>
  <c r="J23" i="6" s="1"/>
  <c r="J26" i="6" s="1"/>
  <c r="BY19" i="6"/>
  <c r="BY21" i="6" s="1"/>
  <c r="BY23" i="6" s="1"/>
  <c r="BY26" i="6" s="1"/>
  <c r="BI19" i="6"/>
  <c r="BI21" i="6" s="1"/>
  <c r="BI23" i="6" s="1"/>
  <c r="BI26" i="6" s="1"/>
  <c r="AS19" i="6"/>
  <c r="AS21" i="6" s="1"/>
  <c r="AS23" i="6" s="1"/>
  <c r="AS26" i="6" s="1"/>
  <c r="AC19" i="6"/>
  <c r="AC21" i="6" s="1"/>
  <c r="AC23" i="6" s="1"/>
  <c r="AC26" i="6" s="1"/>
  <c r="BV19" i="6"/>
  <c r="BV21" i="6" s="1"/>
  <c r="BV23" i="6" s="1"/>
  <c r="BV26" i="6" s="1"/>
  <c r="AP19" i="6"/>
  <c r="AP21" i="6" s="1"/>
  <c r="AP23" i="6" s="1"/>
  <c r="AP26" i="6" s="1"/>
  <c r="M19" i="6"/>
  <c r="M21" i="6" s="1"/>
  <c r="M23" i="6" s="1"/>
  <c r="M26" i="6" s="1"/>
  <c r="AQ19" i="6"/>
  <c r="AQ21" i="6" s="1"/>
  <c r="AQ23" i="6" s="1"/>
  <c r="AQ26" i="6" s="1"/>
  <c r="BS19" i="6"/>
  <c r="BS21" i="6" s="1"/>
  <c r="BS23" i="6" s="1"/>
  <c r="BS26" i="6" s="1"/>
  <c r="BL19" i="6"/>
  <c r="BL21" i="6" s="1"/>
  <c r="BL23" i="6" s="1"/>
  <c r="BL26" i="6" s="1"/>
  <c r="AF19" i="6"/>
  <c r="AF21" i="6" s="1"/>
  <c r="AF23" i="6" s="1"/>
  <c r="AF26" i="6" s="1"/>
  <c r="S19" i="6"/>
  <c r="S21" i="6" s="1"/>
  <c r="S23" i="6" s="1"/>
  <c r="S26" i="6" s="1"/>
  <c r="BN19" i="6"/>
  <c r="BN21" i="6" s="1"/>
  <c r="BN23" i="6" s="1"/>
  <c r="BN26" i="6" s="1"/>
  <c r="AH19" i="6"/>
  <c r="AH21" i="6" s="1"/>
  <c r="AH23" i="6" s="1"/>
  <c r="AH26" i="6" s="1"/>
  <c r="AX19" i="6"/>
  <c r="AX21" i="6" s="1"/>
  <c r="AX23" i="6" s="1"/>
  <c r="AX26" i="6" s="1"/>
  <c r="R19" i="6"/>
  <c r="R21" i="6" s="1"/>
  <c r="R23" i="6" s="1"/>
  <c r="R26" i="6" s="1"/>
  <c r="BU19" i="6"/>
  <c r="BU21" i="6" s="1"/>
  <c r="BU23" i="6" s="1"/>
  <c r="BU26" i="6" s="1"/>
  <c r="Y19" i="6"/>
  <c r="Y21" i="6" s="1"/>
  <c r="Y23" i="6" s="1"/>
  <c r="Y26" i="6" s="1"/>
  <c r="CA19" i="6"/>
  <c r="CA21" i="6" s="1"/>
  <c r="CA23" i="6" s="1"/>
  <c r="CA26" i="6" s="1"/>
  <c r="O19" i="6"/>
  <c r="O21" i="6" s="1"/>
  <c r="O23" i="6" s="1"/>
  <c r="O26" i="6" s="1"/>
  <c r="BT19" i="6"/>
  <c r="BT21" i="6" s="1"/>
  <c r="BT23" i="6" s="1"/>
  <c r="BT26" i="6" s="1"/>
  <c r="BD19" i="6"/>
  <c r="BD21" i="6" s="1"/>
  <c r="BD23" i="6" s="1"/>
  <c r="BD26" i="6" s="1"/>
  <c r="AN19" i="6"/>
  <c r="AN21" i="6" s="1"/>
  <c r="AN23" i="6" s="1"/>
  <c r="AN26" i="6" s="1"/>
  <c r="X19" i="6"/>
  <c r="X21" i="6" s="1"/>
  <c r="X23" i="6" s="1"/>
  <c r="X26" i="6" s="1"/>
  <c r="BZ19" i="6"/>
  <c r="BZ21" i="6" s="1"/>
  <c r="BZ23" i="6" s="1"/>
  <c r="BZ26" i="6" s="1"/>
  <c r="BW19" i="6"/>
  <c r="BW21" i="6" s="1"/>
  <c r="BW23" i="6" s="1"/>
  <c r="BW26" i="6" s="1"/>
  <c r="BG19" i="6"/>
  <c r="BG21" i="6" s="1"/>
  <c r="BG23" i="6" s="1"/>
  <c r="BG26" i="6" s="1"/>
  <c r="BC19" i="6"/>
  <c r="BC21" i="6" s="1"/>
  <c r="BC23" i="6" s="1"/>
  <c r="BC26" i="6" s="1"/>
  <c r="AM19" i="6"/>
  <c r="AM21" i="6" s="1"/>
  <c r="AM23" i="6" s="1"/>
  <c r="AM26" i="6" s="1"/>
  <c r="W19" i="6"/>
  <c r="W21" i="6" s="1"/>
  <c r="W23" i="6" s="1"/>
  <c r="W26" i="6" s="1"/>
  <c r="CC21" i="6" l="1"/>
  <c r="BQ23" i="6"/>
  <c r="CC23" i="6" l="1"/>
  <c r="BQ26" i="6"/>
  <c r="H21" i="10"/>
  <c r="CC26" i="6" l="1"/>
  <c r="I21" i="10"/>
  <c r="J21" i="10" l="1"/>
  <c r="J39" i="10"/>
  <c r="J43" i="10" s="1"/>
  <c r="J46" i="10" s="1"/>
  <c r="N39" i="10"/>
  <c r="N43" i="10" s="1"/>
  <c r="N46" i="10" s="1"/>
  <c r="R39" i="10"/>
  <c r="R43" i="10" s="1"/>
  <c r="R46" i="10" s="1"/>
  <c r="K39" i="10"/>
  <c r="K43" i="10" s="1"/>
  <c r="K46" i="10" s="1"/>
  <c r="O39" i="10"/>
  <c r="O43" i="10" s="1"/>
  <c r="O46" i="10" s="1"/>
  <c r="S39" i="10"/>
  <c r="S43" i="10" s="1"/>
  <c r="S46" i="10" s="1"/>
  <c r="M39" i="10"/>
  <c r="M43" i="10" s="1"/>
  <c r="M46" i="10" s="1"/>
  <c r="I39" i="10"/>
  <c r="I43" i="10" s="1"/>
  <c r="I46" i="10" s="1"/>
  <c r="Q39" i="10"/>
  <c r="Q43" i="10" s="1"/>
  <c r="Q46" i="10" s="1"/>
  <c r="L39" i="10"/>
  <c r="L43" i="10" s="1"/>
  <c r="L46" i="10" s="1"/>
  <c r="P39" i="10"/>
  <c r="P43" i="10" s="1"/>
  <c r="P46" i="10" s="1"/>
  <c r="H25" i="10"/>
  <c r="K21" i="10" l="1"/>
  <c r="I25" i="10"/>
  <c r="H29" i="10"/>
  <c r="I29" i="10" l="1"/>
  <c r="I32" i="10" s="1"/>
  <c r="H32" i="10"/>
  <c r="J25" i="10"/>
  <c r="L21" i="10"/>
  <c r="U31" i="10" l="1"/>
  <c r="J29" i="10"/>
  <c r="K25" i="10"/>
  <c r="U26" i="10"/>
  <c r="U27" i="10"/>
  <c r="U30" i="10"/>
  <c r="M21" i="10"/>
  <c r="U33" i="10"/>
  <c r="U28" i="10"/>
  <c r="W47" i="10"/>
  <c r="J32" i="10" l="1"/>
  <c r="L25" i="10"/>
  <c r="U25" i="10" s="1"/>
  <c r="N21" i="10"/>
  <c r="K29" i="10"/>
  <c r="K32" i="10" l="1"/>
  <c r="O21" i="10"/>
  <c r="L29" i="10"/>
  <c r="U29" i="10" s="1"/>
  <c r="M25" i="10"/>
  <c r="M29" i="10" l="1"/>
  <c r="M32" i="10" s="1"/>
  <c r="P21" i="10"/>
  <c r="L32" i="10"/>
  <c r="U32" i="10" s="1"/>
  <c r="N25" i="10"/>
  <c r="I15" i="6"/>
  <c r="I19" i="6" s="1"/>
  <c r="I21" i="6" s="1"/>
  <c r="I23" i="6" s="1"/>
  <c r="N29" i="10" l="1"/>
  <c r="O25" i="10"/>
  <c r="Q21" i="10"/>
  <c r="N32" i="10"/>
  <c r="I26" i="6"/>
  <c r="O29" i="10" l="1"/>
  <c r="R21" i="10"/>
  <c r="P25" i="10"/>
  <c r="E10" i="4"/>
  <c r="O32" i="10" l="1"/>
  <c r="Q25" i="10"/>
  <c r="S21" i="10"/>
  <c r="H7" i="10" s="1"/>
  <c r="P29" i="10"/>
  <c r="Q29" i="10" l="1"/>
  <c r="P32" i="10"/>
  <c r="U7" i="10"/>
  <c r="U35" i="10"/>
  <c r="W26" i="10"/>
  <c r="W27" i="10"/>
  <c r="W31" i="10"/>
  <c r="W28" i="10"/>
  <c r="W30" i="10"/>
  <c r="W33" i="10"/>
  <c r="Q32" i="10"/>
  <c r="R25" i="10"/>
  <c r="R29" i="10" l="1"/>
  <c r="S25" i="10"/>
  <c r="W25" i="10" s="1"/>
  <c r="R32" i="10"/>
  <c r="S29" i="10" l="1"/>
  <c r="W29" i="10" s="1"/>
  <c r="S32" i="10" l="1"/>
  <c r="W32" i="10" s="1"/>
  <c r="J7" i="6" l="1"/>
  <c r="I8" i="6"/>
  <c r="K7" i="6" l="1"/>
  <c r="J8" i="6"/>
  <c r="L7" i="6" l="1"/>
  <c r="M7" i="6" s="1"/>
  <c r="K8" i="6"/>
  <c r="L8" i="6" l="1"/>
  <c r="N7" i="6"/>
  <c r="M8" i="6"/>
  <c r="O7" i="6" l="1"/>
  <c r="N8" i="6"/>
  <c r="O8" i="6" l="1"/>
  <c r="P7" i="6"/>
  <c r="Q7" i="6" l="1"/>
  <c r="P8" i="6"/>
  <c r="R7" i="6" l="1"/>
  <c r="Q8" i="6"/>
  <c r="S7" i="6" l="1"/>
  <c r="R8" i="6"/>
  <c r="I62" i="10" l="1"/>
  <c r="T7" i="6"/>
  <c r="S8" i="6"/>
  <c r="J62" i="10" l="1"/>
  <c r="H66" i="10"/>
  <c r="U7" i="6"/>
  <c r="T8" i="6"/>
  <c r="I66" i="10" l="1"/>
  <c r="K62" i="10"/>
  <c r="H70" i="10"/>
  <c r="V7" i="6"/>
  <c r="U8" i="6"/>
  <c r="I70" i="10" l="1"/>
  <c r="J66" i="10"/>
  <c r="L62" i="10"/>
  <c r="W7" i="6"/>
  <c r="V8" i="6"/>
  <c r="J70" i="10" l="1"/>
  <c r="U72" i="10"/>
  <c r="U69" i="10"/>
  <c r="U67" i="10"/>
  <c r="U71" i="10"/>
  <c r="U68" i="10"/>
  <c r="U73" i="10"/>
  <c r="M62" i="10"/>
  <c r="K66" i="10"/>
  <c r="K70" i="10" s="1"/>
  <c r="X7" i="6"/>
  <c r="W8" i="6"/>
  <c r="L66" i="10" l="1"/>
  <c r="L70" i="10" s="1"/>
  <c r="U70" i="10" s="1"/>
  <c r="N62" i="10"/>
  <c r="Y7" i="6"/>
  <c r="X8" i="6"/>
  <c r="U66" i="10" l="1"/>
  <c r="M66" i="10"/>
  <c r="M70" i="10" s="1"/>
  <c r="O62" i="10"/>
  <c r="Z7" i="6"/>
  <c r="Y8" i="6"/>
  <c r="N66" i="10" l="1"/>
  <c r="P62" i="10"/>
  <c r="AA7" i="6"/>
  <c r="Z8" i="6"/>
  <c r="N70" i="10" l="1"/>
  <c r="Q62" i="10"/>
  <c r="O66" i="10"/>
  <c r="O70" i="10" s="1"/>
  <c r="AB7" i="6"/>
  <c r="AA8" i="6"/>
  <c r="R62" i="10" l="1"/>
  <c r="S62" i="10" s="1"/>
  <c r="P66" i="10"/>
  <c r="AC7" i="6"/>
  <c r="AB8" i="6"/>
  <c r="H49" i="10" l="1"/>
  <c r="I49" i="10"/>
  <c r="Q66" i="10"/>
  <c r="Q70" i="10" s="1"/>
  <c r="P70" i="10"/>
  <c r="AD7" i="6"/>
  <c r="AC8" i="6"/>
  <c r="W73" i="10" l="1"/>
  <c r="H53" i="10"/>
  <c r="J49" i="10"/>
  <c r="W68" i="10"/>
  <c r="S66" i="10"/>
  <c r="W71" i="10"/>
  <c r="W72" i="10"/>
  <c r="W69" i="10"/>
  <c r="R66" i="10"/>
  <c r="W67" i="10"/>
  <c r="AE7" i="6"/>
  <c r="AD8" i="6"/>
  <c r="I53" i="10" l="1"/>
  <c r="H57" i="10"/>
  <c r="I57" i="10"/>
  <c r="I60" i="10" s="1"/>
  <c r="K49" i="10"/>
  <c r="S70" i="10"/>
  <c r="W66" i="10"/>
  <c r="R70" i="10"/>
  <c r="AF7" i="6"/>
  <c r="AE8" i="6"/>
  <c r="H60" i="10" l="1"/>
  <c r="J53" i="10"/>
  <c r="L49" i="10"/>
  <c r="W70" i="10"/>
  <c r="AF8" i="6"/>
  <c r="AG7" i="6"/>
  <c r="J57" i="10" l="1"/>
  <c r="K53" i="10"/>
  <c r="K57" i="10" s="1"/>
  <c r="K60" i="10" s="1"/>
  <c r="M49" i="10"/>
  <c r="U55" i="10"/>
  <c r="U56" i="10"/>
  <c r="U59" i="10"/>
  <c r="U54" i="10"/>
  <c r="U58" i="10"/>
  <c r="AG8" i="6"/>
  <c r="AH7" i="6"/>
  <c r="J60" i="10" l="1"/>
  <c r="U60" i="10" s="1"/>
  <c r="L53" i="10"/>
  <c r="L57" i="10" s="1"/>
  <c r="L60" i="10" s="1"/>
  <c r="N49" i="10"/>
  <c r="AH8" i="6"/>
  <c r="AI7" i="6"/>
  <c r="U57" i="10" l="1"/>
  <c r="U53" i="10"/>
  <c r="M53" i="10"/>
  <c r="M57" i="10" s="1"/>
  <c r="M60" i="10" s="1"/>
  <c r="O49" i="10"/>
  <c r="AI8" i="6"/>
  <c r="AJ7" i="6"/>
  <c r="N53" i="10" l="1"/>
  <c r="N57" i="10" s="1"/>
  <c r="N60" i="10" s="1"/>
  <c r="P49" i="10"/>
  <c r="AJ8" i="6"/>
  <c r="AK7" i="6"/>
  <c r="O53" i="10" l="1"/>
  <c r="O57" i="10" s="1"/>
  <c r="O60" i="10" s="1"/>
  <c r="Q49" i="10"/>
  <c r="AK8" i="6"/>
  <c r="AL7" i="6"/>
  <c r="P53" i="10" l="1"/>
  <c r="P57" i="10" s="1"/>
  <c r="P60" i="10" s="1"/>
  <c r="R49" i="10"/>
  <c r="AL8" i="6"/>
  <c r="AM7" i="6"/>
  <c r="Q53" i="10" l="1"/>
  <c r="Q57" i="10" s="1"/>
  <c r="Q60" i="10" s="1"/>
  <c r="S49" i="10"/>
  <c r="H35" i="10" s="1"/>
  <c r="AM8" i="6"/>
  <c r="AN7" i="6"/>
  <c r="U40" i="10" l="1"/>
  <c r="U41" i="10"/>
  <c r="U42" i="10"/>
  <c r="U44" i="10"/>
  <c r="U45" i="10"/>
  <c r="R53" i="10"/>
  <c r="R57" i="10" s="1"/>
  <c r="R60" i="10" s="1"/>
  <c r="AN8" i="6"/>
  <c r="AO7" i="6"/>
  <c r="S53" i="10" l="1"/>
  <c r="S57" i="10" s="1"/>
  <c r="S60" i="10" s="1"/>
  <c r="AO8" i="6"/>
  <c r="AP7" i="6"/>
  <c r="H39" i="10" l="1"/>
  <c r="U39" i="10" s="1"/>
  <c r="W55" i="10"/>
  <c r="W59" i="10"/>
  <c r="W58" i="10"/>
  <c r="W56" i="10"/>
  <c r="W54" i="10"/>
  <c r="AP8" i="6"/>
  <c r="AQ7" i="6"/>
  <c r="AR7" i="6" l="1"/>
  <c r="AS7" i="6" s="1"/>
  <c r="AT7" i="6" s="1"/>
  <c r="AU7" i="6" s="1"/>
  <c r="AV7" i="6" s="1"/>
  <c r="AW7" i="6" s="1"/>
  <c r="AX7" i="6" s="1"/>
  <c r="AY7" i="6" s="1"/>
  <c r="AZ7" i="6" s="1"/>
  <c r="BA7" i="6" s="1"/>
  <c r="BB7" i="6" s="1"/>
  <c r="H43" i="10"/>
  <c r="W53" i="10"/>
  <c r="AQ8" i="6"/>
  <c r="AS8" i="6" l="1"/>
  <c r="AT8" i="6"/>
  <c r="AU8" i="6"/>
  <c r="AV8" i="6"/>
  <c r="AW8" i="6"/>
  <c r="AX8" i="6"/>
  <c r="AY8" i="6"/>
  <c r="AZ8" i="6"/>
  <c r="BA8" i="6"/>
  <c r="AR8" i="6"/>
  <c r="H46" i="10"/>
  <c r="U46" i="10" s="1"/>
  <c r="U43" i="10"/>
  <c r="W57" i="10"/>
  <c r="BB8" i="6"/>
  <c r="BC7" i="6"/>
  <c r="W60" i="10" l="1"/>
  <c r="BD7" i="6"/>
  <c r="BC8" i="6"/>
  <c r="BD8" i="6" l="1"/>
  <c r="BE7" i="6"/>
  <c r="BF7" i="6" l="1"/>
  <c r="BE8" i="6"/>
  <c r="BG7" i="6" l="1"/>
  <c r="BH7" i="6" s="1"/>
  <c r="BI7" i="6" s="1"/>
  <c r="BJ7" i="6" s="1"/>
  <c r="BK7" i="6" s="1"/>
  <c r="BL7" i="6" s="1"/>
  <c r="BM7" i="6" s="1"/>
  <c r="BN7" i="6" s="1"/>
  <c r="BF8" i="6"/>
  <c r="BG8" i="6" l="1"/>
  <c r="BH8" i="6"/>
  <c r="BI8" i="6"/>
  <c r="BJ8" i="6"/>
  <c r="BM8" i="6"/>
  <c r="BK8" i="6"/>
  <c r="BL8" i="6"/>
  <c r="BO7" i="6"/>
  <c r="BP7" i="6" s="1"/>
  <c r="BQ7" i="6" s="1"/>
  <c r="BR7" i="6" s="1"/>
  <c r="BR8" i="6" s="1"/>
  <c r="BN8" i="6"/>
  <c r="BP8" i="6" l="1"/>
  <c r="BO8" i="6"/>
  <c r="BS7" i="6"/>
  <c r="BQ8" i="6"/>
  <c r="BT7" i="6"/>
  <c r="BS8" i="6"/>
  <c r="BU7" i="6" l="1"/>
  <c r="BU8" i="6" s="1"/>
  <c r="W42" i="10"/>
  <c r="W44" i="10"/>
  <c r="W45" i="10"/>
  <c r="W41" i="10"/>
  <c r="U62" i="10"/>
  <c r="U49" i="10"/>
  <c r="BT8" i="6"/>
  <c r="BV7" i="6" l="1"/>
  <c r="W40" i="10"/>
  <c r="BW7" i="6"/>
  <c r="BV8" i="6"/>
  <c r="W39" i="10" l="1"/>
  <c r="BX7" i="6"/>
  <c r="BW8" i="6"/>
  <c r="BY7" i="6" l="1"/>
  <c r="BY8" i="6" s="1"/>
  <c r="W43" i="10"/>
  <c r="BX8" i="6"/>
  <c r="BZ7" i="6" l="1"/>
  <c r="CA7" i="6" s="1"/>
  <c r="W46" i="10"/>
  <c r="CA8" i="6" l="1"/>
  <c r="CB7" i="6"/>
  <c r="BZ8" i="6"/>
  <c r="CB8" i="6"/>
  <c r="CC7" i="6"/>
  <c r="CD7" i="6" l="1"/>
  <c r="CD8" i="6" s="1"/>
  <c r="CC8" i="6"/>
  <c r="CE7" i="6" l="1"/>
  <c r="CE8" i="6" s="1"/>
  <c r="CF7" i="6" l="1"/>
  <c r="CG7" i="6" s="1"/>
  <c r="CF8" i="6" l="1"/>
  <c r="CG8" i="6"/>
  <c r="CH7" i="6"/>
  <c r="CI7" i="6" l="1"/>
  <c r="CI8" i="6" s="1"/>
  <c r="CH8" i="6"/>
  <c r="CJ7" i="6" l="1"/>
  <c r="CK7" i="6" s="1"/>
  <c r="CJ8" i="6" l="1"/>
  <c r="CL7" i="6"/>
  <c r="CM7" i="6" s="1"/>
  <c r="CM8" i="6" s="1"/>
  <c r="CL8" i="6"/>
  <c r="CK8" i="6"/>
  <c r="CN7" i="6" l="1"/>
  <c r="CO7" i="6" s="1"/>
  <c r="CP7" i="6" l="1"/>
  <c r="CN8" i="6"/>
  <c r="CO8" i="6"/>
  <c r="CP8" i="6" l="1"/>
  <c r="CQ7" i="6"/>
  <c r="CV11" i="6"/>
  <c r="CV25" i="6"/>
  <c r="CV19" i="6"/>
  <c r="CV18" i="6"/>
  <c r="CV13" i="6"/>
  <c r="CV21" i="6"/>
  <c r="CV12" i="6"/>
  <c r="CV24" i="6"/>
  <c r="CV14" i="6"/>
  <c r="CV22" i="6"/>
  <c r="CV23" i="6"/>
  <c r="CV26" i="6"/>
  <c r="CV20" i="6"/>
  <c r="CV16" i="6"/>
  <c r="CV15" i="6"/>
  <c r="CV7" i="6"/>
  <c r="CT12" i="6" l="1"/>
  <c r="CT16" i="6"/>
  <c r="CT15" i="6"/>
  <c r="CQ8" i="6"/>
  <c r="CV17" i="6"/>
  <c r="CT26" i="6" l="1"/>
  <c r="CT18" i="6"/>
  <c r="CT13" i="6"/>
  <c r="CT21" i="6"/>
  <c r="CT20" i="6"/>
  <c r="CT24" i="6"/>
  <c r="CT17" i="6"/>
  <c r="CT22" i="6"/>
  <c r="CT19" i="6"/>
  <c r="CT25" i="6"/>
  <c r="CT11" i="6"/>
  <c r="CT14" i="6"/>
  <c r="CT23" i="6"/>
</calcChain>
</file>

<file path=xl/sharedStrings.xml><?xml version="1.0" encoding="utf-8"?>
<sst xmlns="http://schemas.openxmlformats.org/spreadsheetml/2006/main" count="110" uniqueCount="73">
  <si>
    <t>OBJETIVO DO FUNDO</t>
  </si>
  <si>
    <t>INFORMAÇÕES GERAIS</t>
  </si>
  <si>
    <t>Início das atividades:</t>
  </si>
  <si>
    <t>Despesas totais</t>
  </si>
  <si>
    <t>Benfeitorias</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</si>
  <si>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</si>
  <si>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</si>
  <si>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</si>
  <si>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</si>
  <si>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</si>
  <si>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</si>
  <si>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</si>
  <si>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</si>
  <si>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</si>
  <si>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</si>
  <si>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</si>
  <si>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</si>
  <si>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</si>
  <si>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</si>
  <si>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</si>
  <si>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</si>
  <si>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</si>
  <si>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</si>
  <si>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</si>
  <si>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</si>
  <si>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</si>
  <si>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Administrador</t>
  </si>
  <si>
    <t>Portfólio</t>
  </si>
  <si>
    <t>Inauguração</t>
  </si>
  <si>
    <t>Fluxo de caixa total</t>
  </si>
  <si>
    <t>Fluxo de Veículos</t>
  </si>
  <si>
    <t>Valores ponderados pela participação do Fundo</t>
  </si>
  <si>
    <t>Receita Imobiliária</t>
  </si>
  <si>
    <t>Imóveis</t>
  </si>
  <si>
    <t>Receita Financeira</t>
  </si>
  <si>
    <t>Despesas do Fundo</t>
  </si>
  <si>
    <t>Resultado Final</t>
  </si>
  <si>
    <t>Resultado / Cota</t>
  </si>
  <si>
    <t>Rendimento / Cota</t>
  </si>
  <si>
    <t/>
  </si>
  <si>
    <t>Participação</t>
  </si>
  <si>
    <t>Indicadores Operacionais (100%)</t>
  </si>
  <si>
    <t>Hedge Floripa Shopping Fundo de Investimento Imobiliário - FLRP11</t>
  </si>
  <si>
    <t>Setembro de 2009</t>
  </si>
  <si>
    <t>Floripa Shopping</t>
  </si>
  <si>
    <t>Florianópolis - SC</t>
  </si>
  <si>
    <t>Hedge Floripa Shopping 2022</t>
  </si>
  <si>
    <t>Aluguel mínimo</t>
  </si>
  <si>
    <t>Aluguel complementar</t>
  </si>
  <si>
    <t>Resultado não operacional</t>
  </si>
  <si>
    <t>Plena Malls</t>
  </si>
  <si>
    <t>0,60% ao ano sobre o valor de mercado das Cotas (inclui Gestão)</t>
  </si>
  <si>
    <t>FII de Renda Gestão Passiva – Shopping Centers</t>
  </si>
  <si>
    <t>O Hedge Floripa Shopping FII tem por objeto proporcionar a seus cotistas a valorização e a rentabilidade de suas cotas no longo prazo, objetivando a obtenção de renda pelo investimento de seu patrimônio líquido, direta ou indiretamente, nos imóveis localizados na Rodovia Virgílio Várzea, nº 587, área 2, no Saco Grande, distrito de Santo Antônio de Lisboa, Município de Florianópolis, Estado de Santa Catarina, bem como bens e direitos a ele relacionados e/ou imóveis adjacentes que venham a ser adquiridos os quais deverão ser utilizados em atividade que tenha potencial de oferecer sinergia comercial às atividades do empreendimento denominado Floripa Shopping Center.</t>
  </si>
  <si>
    <t>Rendimento FLRP11</t>
  </si>
  <si>
    <r>
      <t>Vendas</t>
    </r>
    <r>
      <rPr>
        <sz val="10"/>
        <color theme="1" tint="0.249977111117893"/>
        <rFont val="Compasse Light"/>
        <family val="2"/>
      </rPr>
      <t>*</t>
    </r>
  </si>
  <si>
    <t>Receitas Universidades/Escritórios</t>
  </si>
  <si>
    <t>Hedge Floripa Shopping 2023</t>
  </si>
  <si>
    <t>Fluxo de Caixa FLRP11 (35,37255%)</t>
  </si>
  <si>
    <t>Rendimento Recibos</t>
  </si>
  <si>
    <t>Inadimplência Líquida 12m</t>
  </si>
  <si>
    <t>SSS %</t>
  </si>
  <si>
    <r>
      <rPr>
        <sz val="10"/>
        <color theme="1" tint="0.249977111117893"/>
        <rFont val="Compasse Light"/>
        <family val="2"/>
      </rPr>
      <t>*</t>
    </r>
    <r>
      <rPr>
        <sz val="7"/>
        <color theme="1" tint="0.249977111117893"/>
        <rFont val="Compasse Light"/>
        <family val="2"/>
      </rPr>
      <t xml:space="preserve"> Para os cálculos das vendas, não são consideradas as áreas de escritórios/universidades (14.274 m²).</t>
    </r>
  </si>
  <si>
    <t>Vacância</t>
  </si>
  <si>
    <t>Hedge Floripa Shopping 2024</t>
  </si>
  <si>
    <t>Hedge Floripa Shopping 2025</t>
  </si>
  <si>
    <t>ABL Total*</t>
  </si>
  <si>
    <t>Aluguel quiosques/mídia/eventos</t>
  </si>
  <si>
    <t>Resultado shopping + estacionamento</t>
  </si>
  <si>
    <t>Resultado Operacional (NOI)</t>
  </si>
  <si>
    <t>Resultado sem estacionamento</t>
  </si>
  <si>
    <r>
      <rPr>
        <sz val="10"/>
        <color theme="1" tint="0.249977111117893"/>
        <rFont val="Compasse Light"/>
        <family val="2"/>
      </rPr>
      <t>*</t>
    </r>
    <r>
      <rPr>
        <sz val="7"/>
        <color theme="1" tint="0.249977111117893"/>
        <rFont val="Compasse Light"/>
        <family val="2"/>
      </rPr>
      <t xml:space="preserve"> São consideradas as áreas de escritórios/universidades (16.775 m²).</t>
    </r>
  </si>
  <si>
    <t>Hedge Floripa Shopping 20256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</si>
</sst>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5">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0.00000%"/>
    <numFmt numFmtId="322" formatCode="_(* #,##0.000_);_(* \(#,##0.000\);_(* &quot;-&quot;??_);_(@_)"/>
  </numFmts>
  <fonts count="243">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ompasse Light"/>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b/>
      <sz val="8"/>
      <color theme="1" tint="0.249977111117893"/>
      <name val="Compasse"/>
      <family val="2"/>
    </font>
    <font>
      <sz val="8"/>
      <color theme="1" tint="0.249977111117893"/>
      <name val="Compasse Light"/>
      <family val="2"/>
    </font>
    <font>
      <sz val="8"/>
      <color theme="1" tint="0.249977111117893"/>
      <name val="Compasse ExtraBold"/>
      <family val="2"/>
    </font>
    <font>
      <sz val="8"/>
      <color theme="0"/>
      <name val="Compasse ExtraBold"/>
      <family val="2"/>
    </font>
    <font>
      <b/>
      <sz val="10"/>
      <color theme="1" tint="0.249977111117893"/>
      <name val="Compasse"/>
      <family val="2"/>
    </font>
    <font>
      <sz val="10"/>
      <color theme="1" tint="0.249977111117893"/>
      <name val="Compasse Light"/>
      <family val="2"/>
    </font>
    <font>
      <sz val="10"/>
      <color theme="1" tint="0.249977111117893"/>
      <name val="Compasse ExtraBold"/>
      <family val="2"/>
    </font>
    <font>
      <sz val="10"/>
      <color theme="0"/>
      <name val="Compasse ExtraBold"/>
      <family val="2"/>
    </font>
    <font>
      <sz val="11"/>
      <color theme="1" tint="0.499984740745262"/>
      <name val="Compasse"/>
      <family val="2"/>
    </font>
    <font>
      <sz val="12"/>
      <color theme="1" tint="0.499984740745262"/>
      <name val="Compasse"/>
      <family val="2"/>
    </font>
    <font>
      <sz val="7"/>
      <color theme="1" tint="0.249977111117893"/>
      <name val="Compasse Light"/>
      <family val="2"/>
    </font>
  </fonts>
  <fills count="99">
    <fill>
      <patternFill patternType="none"/>
    </fill>
    <fill>
      <patternFill patternType="gray125"/>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0"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34" fillId="9" borderId="5" applyNumberFormat="0" applyAlignment="0" applyProtection="0"/>
    <xf numFmtId="0" fontId="31" fillId="10" borderId="6" applyNumberFormat="0" applyAlignment="0" applyProtection="0"/>
    <xf numFmtId="0" fontId="26" fillId="10" borderId="5" applyNumberFormat="0" applyAlignment="0" applyProtection="0"/>
    <xf numFmtId="0" fontId="33" fillId="0" borderId="7" applyNumberFormat="0" applyFill="0" applyAlignment="0" applyProtection="0"/>
    <xf numFmtId="0" fontId="27" fillId="11" borderId="8" applyNumberFormat="0" applyAlignment="0" applyProtection="0"/>
    <xf numFmtId="0" fontId="32" fillId="0" borderId="0" applyNumberFormat="0" applyFill="0" applyBorder="0" applyAlignment="0" applyProtection="0"/>
    <xf numFmtId="0" fontId="7" fillId="12" borderId="9" applyNumberFormat="0" applyAlignment="0" applyProtection="0"/>
    <xf numFmtId="0" fontId="35" fillId="0" borderId="0" applyNumberFormat="0" applyFill="0" applyBorder="0" applyAlignment="0" applyProtection="0"/>
    <xf numFmtId="0" fontId="24" fillId="0" borderId="10" applyNumberFormat="0" applyFill="0" applyAlignment="0" applyProtection="0"/>
    <xf numFmtId="0" fontId="38" fillId="0" borderId="0" applyNumberFormat="0" applyFill="0" applyBorder="0" applyAlignment="0" applyProtection="0"/>
    <xf numFmtId="0" fontId="39" fillId="0" borderId="0"/>
    <xf numFmtId="0" fontId="43" fillId="7" borderId="0" applyNumberFormat="0" applyBorder="0" applyAlignment="0" applyProtection="0"/>
    <xf numFmtId="0" fontId="44" fillId="10" borderId="5" applyNumberFormat="0" applyAlignment="0" applyProtection="0"/>
    <xf numFmtId="0" fontId="45" fillId="11" borderId="8" applyNumberFormat="0" applyAlignment="0" applyProtection="0"/>
    <xf numFmtId="43" fontId="4" fillId="0" borderId="0" applyFont="0" applyFill="0" applyBorder="0" applyAlignment="0" applyProtection="0"/>
    <xf numFmtId="44" fontId="40" fillId="0" borderId="0" applyFon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49" fillId="9" borderId="5" applyNumberFormat="0" applyAlignment="0" applyProtection="0"/>
    <xf numFmtId="0" fontId="50" fillId="0" borderId="7" applyNumberFormat="0" applyFill="0" applyAlignment="0" applyProtection="0"/>
    <xf numFmtId="0" fontId="51" fillId="8" borderId="0" applyNumberFormat="0" applyBorder="0" applyAlignment="0" applyProtection="0"/>
    <xf numFmtId="0" fontId="39" fillId="12" borderId="9" applyNumberFormat="0" applyAlignment="0" applyProtection="0"/>
    <xf numFmtId="0" fontId="52" fillId="10" borderId="6" applyNumberFormat="0" applyAlignment="0" applyProtection="0"/>
    <xf numFmtId="0" fontId="42" fillId="0" borderId="0" applyNumberFormat="0" applyFill="0" applyBorder="0" applyAlignment="0" applyProtection="0"/>
    <xf numFmtId="0" fontId="53" fillId="0" borderId="10" applyNumberFormat="0" applyFill="0" applyAlignment="0" applyProtection="0"/>
    <xf numFmtId="0" fontId="54" fillId="0" borderId="0" applyNumberFormat="0" applyFill="0" applyBorder="0" applyAlignment="0" applyProtection="0"/>
    <xf numFmtId="43" fontId="39" fillId="0" borderId="0" applyFont="0" applyFill="0" applyBorder="0" applyAlignment="0" applyProtection="0"/>
    <xf numFmtId="0" fontId="5" fillId="0" borderId="0"/>
    <xf numFmtId="43" fontId="7" fillId="0" borderId="0" applyFont="0" applyFill="0" applyBorder="0" applyAlignment="0" applyProtection="0"/>
    <xf numFmtId="0" fontId="56" fillId="0" borderId="0"/>
    <xf numFmtId="0" fontId="57" fillId="0" borderId="0"/>
    <xf numFmtId="0" fontId="56" fillId="0" borderId="0"/>
    <xf numFmtId="0" fontId="56" fillId="0" borderId="0"/>
    <xf numFmtId="0" fontId="56" fillId="0" borderId="0"/>
    <xf numFmtId="0" fontId="56" fillId="0" borderId="0"/>
    <xf numFmtId="0" fontId="59" fillId="7" borderId="0" applyNumberFormat="0" applyBorder="0" applyAlignment="0" applyProtection="0"/>
    <xf numFmtId="0" fontId="64" fillId="0" borderId="0">
      <alignment vertical="top"/>
    </xf>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0" borderId="14"/>
    <xf numFmtId="178" fontId="68" fillId="0" borderId="0">
      <alignment vertical="top"/>
    </xf>
    <xf numFmtId="0" fontId="69" fillId="0" borderId="15"/>
    <xf numFmtId="0" fontId="70" fillId="0" borderId="0">
      <alignment horizontal="left"/>
    </xf>
    <xf numFmtId="0" fontId="71" fillId="0" borderId="0" applyNumberFormat="0" applyFont="0" applyFill="0" applyAlignment="0" applyProtection="0"/>
    <xf numFmtId="0" fontId="72" fillId="0" borderId="0" applyNumberFormat="0" applyFont="0" applyFill="0" applyAlignment="0" applyProtection="0"/>
    <xf numFmtId="0" fontId="73" fillId="53" borderId="16" applyNumberFormat="0" applyAlignment="0" applyProtection="0"/>
    <xf numFmtId="0" fontId="74" fillId="0" borderId="0">
      <protection locked="0"/>
    </xf>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176" fontId="75" fillId="0" borderId="0" applyFont="0" applyFill="0" applyBorder="0" applyAlignment="0" applyProtection="0"/>
    <xf numFmtId="179" fontId="74" fillId="0" borderId="0">
      <protection locked="0"/>
    </xf>
    <xf numFmtId="0" fontId="76" fillId="40" borderId="0" applyNumberFormat="0" applyBorder="0" applyAlignment="0" applyProtection="0"/>
    <xf numFmtId="164" fontId="4" fillId="0" borderId="0" applyFont="0" applyFill="0" applyBorder="0" applyAlignment="0" applyProtection="0"/>
    <xf numFmtId="0" fontId="77" fillId="58" borderId="0" applyNumberFormat="0" applyBorder="0" applyAlignment="0" applyProtection="0"/>
    <xf numFmtId="0" fontId="78" fillId="0" borderId="0"/>
    <xf numFmtId="0" fontId="4" fillId="0" borderId="0"/>
    <xf numFmtId="0" fontId="4" fillId="0" borderId="0"/>
    <xf numFmtId="178" fontId="4" fillId="0" borderId="0"/>
    <xf numFmtId="0" fontId="78" fillId="0" borderId="0"/>
    <xf numFmtId="178" fontId="4" fillId="0" borderId="0"/>
    <xf numFmtId="0" fontId="4" fillId="59" borderId="17" applyNumberFormat="0" applyFont="0" applyAlignment="0" applyProtection="0"/>
    <xf numFmtId="180" fontId="74" fillId="0" borderId="0">
      <protection locked="0"/>
    </xf>
    <xf numFmtId="181" fontId="74" fillId="0" borderId="0">
      <protection locked="0"/>
    </xf>
    <xf numFmtId="9" fontId="4"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0" fillId="0" borderId="0"/>
    <xf numFmtId="0" fontId="79" fillId="53" borderId="18" applyNumberFormat="0" applyAlignment="0" applyProtection="0"/>
    <xf numFmtId="38" fontId="80" fillId="0" borderId="0" applyFont="0" applyFill="0" applyBorder="0" applyAlignment="0" applyProtection="0"/>
    <xf numFmtId="183" fontId="81"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2" fillId="0" borderId="0" applyNumberFormat="0" applyFill="0" applyBorder="0" applyAlignment="0" applyProtection="0"/>
    <xf numFmtId="178" fontId="83" fillId="0" borderId="11"/>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178" fontId="83" fillId="0" borderId="11"/>
    <xf numFmtId="183" fontId="88" fillId="0" borderId="0">
      <protection locked="0"/>
    </xf>
    <xf numFmtId="183" fontId="88" fillId="0" borderId="0">
      <protection locked="0"/>
    </xf>
    <xf numFmtId="0" fontId="89" fillId="0" borderId="22"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0"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4"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9" borderId="17" applyNumberFormat="0" applyFont="0" applyAlignment="0" applyProtection="0"/>
    <xf numFmtId="43" fontId="4" fillId="0" borderId="0" applyFont="0" applyFill="0" applyBorder="0" applyAlignment="0" applyProtection="0"/>
    <xf numFmtId="0" fontId="89" fillId="0" borderId="22"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7" fillId="0" borderId="21"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6" fillId="0" borderId="0"/>
    <xf numFmtId="0" fontId="56"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6"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9" fillId="0" borderId="0"/>
    <xf numFmtId="43" fontId="4" fillId="0" borderId="0" applyFont="0" applyFill="0" applyBorder="0" applyAlignment="0" applyProtection="0"/>
    <xf numFmtId="44" fontId="40" fillId="0" borderId="0" applyFont="0" applyFill="0" applyBorder="0" applyAlignment="0" applyProtection="0"/>
    <xf numFmtId="0" fontId="53" fillId="0" borderId="10" applyNumberFormat="0" applyFill="0" applyAlignment="0" applyProtection="0"/>
    <xf numFmtId="43" fontId="39" fillId="0" borderId="0" applyFont="0" applyFill="0" applyBorder="0" applyAlignment="0" applyProtection="0"/>
    <xf numFmtId="0" fontId="5" fillId="0" borderId="0"/>
    <xf numFmtId="0" fontId="56" fillId="0" borderId="0"/>
    <xf numFmtId="0" fontId="57" fillId="0" borderId="0"/>
    <xf numFmtId="0" fontId="56" fillId="0" borderId="0"/>
    <xf numFmtId="0" fontId="56" fillId="0" borderId="0"/>
    <xf numFmtId="0" fontId="56" fillId="0" borderId="0"/>
    <xf numFmtId="0" fontId="56" fillId="0" borderId="0"/>
    <xf numFmtId="0" fontId="4" fillId="0" borderId="0"/>
    <xf numFmtId="176" fontId="75" fillId="0" borderId="0" applyFont="0" applyFill="0" applyBorder="0" applyAlignment="0" applyProtection="0"/>
    <xf numFmtId="164" fontId="4" fillId="0" borderId="0" applyFont="0" applyFill="0" applyBorder="0" applyAlignment="0" applyProtection="0"/>
    <xf numFmtId="0" fontId="78"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9" fillId="0" borderId="22"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29" fillId="7" borderId="0" applyNumberFormat="0" applyBorder="0" applyAlignment="0" applyProtection="0"/>
    <xf numFmtId="0" fontId="26" fillId="10" borderId="5" applyNumberFormat="0" applyAlignment="0" applyProtection="0"/>
    <xf numFmtId="0" fontId="27" fillId="11" borderId="8" applyNumberFormat="0" applyAlignment="0" applyProtection="0"/>
    <xf numFmtId="0" fontId="35" fillId="0" borderId="0" applyNumberFormat="0" applyFill="0" applyBorder="0" applyAlignment="0" applyProtection="0"/>
    <xf numFmtId="0" fontId="30" fillId="6" borderId="0" applyNumberFormat="0" applyBorder="0" applyAlignment="0" applyProtection="0"/>
    <xf numFmtId="0" fontId="36" fillId="0" borderId="12" applyNumberFormat="0" applyFill="0" applyAlignment="0" applyProtection="0"/>
    <xf numFmtId="0" fontId="37" fillId="0" borderId="1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9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4" fillId="9" borderId="5" applyNumberFormat="0" applyAlignment="0" applyProtection="0"/>
    <xf numFmtId="0" fontId="33" fillId="0" borderId="7" applyNumberFormat="0" applyFill="0" applyAlignment="0" applyProtection="0"/>
    <xf numFmtId="0" fontId="28" fillId="8" borderId="0" applyNumberFormat="0" applyBorder="0" applyAlignment="0" applyProtection="0"/>
    <xf numFmtId="0" fontId="94" fillId="0" borderId="0"/>
    <xf numFmtId="0" fontId="4" fillId="0" borderId="0"/>
    <xf numFmtId="0" fontId="4" fillId="0" borderId="0"/>
    <xf numFmtId="0" fontId="5" fillId="0" borderId="0"/>
    <xf numFmtId="0" fontId="5" fillId="0" borderId="0"/>
    <xf numFmtId="0" fontId="7" fillId="0" borderId="0"/>
    <xf numFmtId="0" fontId="7" fillId="12" borderId="9" applyNumberFormat="0" applyAlignment="0" applyProtection="0"/>
    <xf numFmtId="0" fontId="31" fillId="10" borderId="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2" fillId="0" borderId="0" applyFont="0" applyFill="0" applyBorder="0" applyProtection="0">
      <alignment horizontal="right"/>
    </xf>
    <xf numFmtId="0" fontId="38" fillId="0" borderId="0" applyNumberFormat="0" applyFill="0" applyBorder="0" applyAlignment="0" applyProtection="0"/>
    <xf numFmtId="0" fontId="63"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60" fillId="8" borderId="0" applyNumberFormat="0" applyBorder="0" applyAlignment="0" applyProtection="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87" fillId="0" borderId="21"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5" fillId="0" borderId="0"/>
    <xf numFmtId="0" fontId="5" fillId="0" borderId="0"/>
    <xf numFmtId="0" fontId="5" fillId="0" borderId="0"/>
    <xf numFmtId="0" fontId="5" fillId="12" borderId="9" applyNumberFormat="0" applyFont="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6" borderId="0" applyNumberFormat="0" applyBorder="0" applyAlignment="0" applyProtection="0"/>
    <xf numFmtId="0" fontId="58" fillId="6" borderId="0" applyNumberFormat="0" applyBorder="0" applyAlignment="0" applyProtection="0"/>
    <xf numFmtId="0" fontId="61" fillId="9"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39" borderId="0" applyNumberFormat="0" applyBorder="0" applyAlignment="0" applyProtection="0"/>
    <xf numFmtId="0" fontId="65" fillId="45" borderId="0" applyNumberFormat="0" applyBorder="0" applyAlignment="0" applyProtection="0"/>
    <xf numFmtId="0" fontId="65" fillId="41" borderId="0" applyNumberFormat="0" applyBorder="0" applyAlignment="0" applyProtection="0"/>
    <xf numFmtId="43" fontId="4" fillId="0" borderId="0" applyFont="0" applyFill="0" applyBorder="0" applyAlignment="0" applyProtection="0"/>
    <xf numFmtId="0" fontId="65" fillId="48" borderId="0" applyNumberFormat="0" applyBorder="0" applyAlignment="0" applyProtection="0"/>
    <xf numFmtId="0" fontId="65" fillId="42" borderId="0" applyNumberFormat="0" applyBorder="0" applyAlignment="0" applyProtection="0"/>
    <xf numFmtId="0" fontId="65" fillId="46" borderId="0" applyNumberFormat="0" applyBorder="0" applyAlignment="0" applyProtection="0"/>
    <xf numFmtId="0" fontId="65" fillId="40" borderId="0" applyNumberFormat="0" applyBorder="0" applyAlignment="0" applyProtection="0"/>
    <xf numFmtId="0" fontId="4" fillId="0" borderId="0"/>
    <xf numFmtId="0" fontId="65" fillId="44" borderId="0" applyNumberFormat="0" applyBorder="0" applyAlignment="0" applyProtection="0"/>
    <xf numFmtId="0" fontId="65" fillId="43" borderId="0" applyNumberFormat="0" applyBorder="0" applyAlignment="0" applyProtection="0"/>
    <xf numFmtId="0" fontId="65" fillId="42" borderId="0" applyNumberFormat="0" applyBorder="0" applyAlignment="0" applyProtection="0"/>
    <xf numFmtId="0" fontId="43" fillId="7" borderId="0" applyNumberFormat="0" applyBorder="0" applyAlignment="0" applyProtection="0"/>
    <xf numFmtId="0" fontId="95" fillId="41" borderId="0" applyNumberFormat="0" applyBorder="0" applyAlignment="0" applyProtection="0"/>
    <xf numFmtId="0" fontId="44" fillId="10" borderId="5" applyNumberFormat="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45" fillId="11"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7" fillId="0" borderId="0" applyFont="0" applyFill="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46" fillId="0" borderId="0" applyNumberFormat="0" applyFill="0" applyBorder="0" applyAlignment="0" applyProtection="0"/>
    <xf numFmtId="0" fontId="47" fillId="6" borderId="0" applyNumberFormat="0" applyBorder="0" applyAlignment="0" applyProtection="0"/>
    <xf numFmtId="0" fontId="41" fillId="0" borderId="12" applyNumberFormat="0" applyFill="0" applyAlignment="0" applyProtection="0"/>
    <xf numFmtId="0" fontId="48" fillId="0" borderId="13" applyNumberFormat="0" applyFill="0" applyAlignment="0" applyProtection="0"/>
    <xf numFmtId="0" fontId="41" fillId="0" borderId="0" applyNumberFormat="0" applyFill="0" applyBorder="0" applyAlignment="0" applyProtection="0"/>
    <xf numFmtId="0" fontId="48" fillId="0" borderId="0" applyNumberFormat="0" applyFill="0" applyBorder="0" applyAlignment="0" applyProtection="0"/>
    <xf numFmtId="0" fontId="90" fillId="0" borderId="0" applyNumberFormat="0" applyFill="0" applyBorder="0" applyAlignment="0" applyProtection="0">
      <alignment vertical="top"/>
      <protection locked="0"/>
    </xf>
    <xf numFmtId="0" fontId="49" fillId="9" borderId="5" applyNumberFormat="0" applyAlignment="0" applyProtection="0"/>
    <xf numFmtId="0" fontId="50" fillId="0" borderId="7"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1" fillId="8" borderId="0" applyNumberFormat="0" applyBorder="0" applyAlignment="0" applyProtection="0"/>
    <xf numFmtId="0" fontId="4" fillId="0" borderId="0">
      <alignment vertical="center"/>
    </xf>
    <xf numFmtId="0" fontId="39" fillId="0" borderId="0"/>
    <xf numFmtId="0" fontId="39" fillId="12" borderId="9" applyNumberFormat="0" applyAlignment="0" applyProtection="0"/>
    <xf numFmtId="0" fontId="52" fillId="10" borderId="6" applyNumberFormat="0" applyAlignment="0" applyProtection="0"/>
    <xf numFmtId="0" fontId="79" fillId="53" borderId="1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4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4"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0" fillId="8" borderId="0" applyNumberFormat="0" applyBorder="0" applyAlignment="0" applyProtection="0"/>
    <xf numFmtId="0" fontId="63" fillId="0" borderId="10" applyNumberFormat="0" applyFill="0" applyAlignment="0" applyProtection="0"/>
    <xf numFmtId="0" fontId="23" fillId="0" borderId="0" applyNumberFormat="0" applyFill="0" applyBorder="0" applyAlignment="0" applyProtection="0"/>
    <xf numFmtId="0" fontId="100" fillId="0" borderId="2" applyNumberFormat="0" applyFill="0" applyAlignment="0" applyProtection="0"/>
    <xf numFmtId="0" fontId="101" fillId="0" borderId="3"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58" fillId="6" borderId="0" applyNumberFormat="0" applyBorder="0" applyAlignment="0" applyProtection="0"/>
    <xf numFmtId="0" fontId="61" fillId="9" borderId="5" applyNumberFormat="0" applyAlignment="0" applyProtection="0"/>
    <xf numFmtId="0" fontId="103" fillId="10" borderId="6" applyNumberFormat="0" applyAlignment="0" applyProtection="0"/>
    <xf numFmtId="0" fontId="104" fillId="10" borderId="5" applyNumberFormat="0" applyAlignment="0" applyProtection="0"/>
    <xf numFmtId="0" fontId="62" fillId="0" borderId="7" applyNumberFormat="0" applyFill="0" applyAlignment="0" applyProtection="0"/>
    <xf numFmtId="0" fontId="25" fillId="11" borderId="8" applyNumberFormat="0" applyAlignment="0" applyProtection="0"/>
    <xf numFmtId="0" fontId="20" fillId="0" borderId="0" applyNumberFormat="0" applyFill="0" applyBorder="0" applyAlignment="0" applyProtection="0"/>
    <xf numFmtId="0" fontId="5" fillId="12" borderId="9" applyNumberFormat="0" applyFont="0" applyAlignment="0" applyProtection="0"/>
    <xf numFmtId="0" fontId="105" fillId="0" borderId="0" applyNumberFormat="0" applyFill="0" applyBorder="0" applyAlignment="0" applyProtection="0"/>
    <xf numFmtId="0" fontId="1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6" fillId="40" borderId="0" applyNumberFormat="0" applyBorder="0" applyAlignment="0" applyProtection="0"/>
    <xf numFmtId="184" fontId="4"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0" fontId="84"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5" fillId="0" borderId="0" applyFont="0" applyFill="0" applyBorder="0" applyAlignment="0" applyProtection="0"/>
    <xf numFmtId="0" fontId="107"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5" fillId="38" borderId="0" applyNumberFormat="0" applyBorder="0" applyAlignment="0" applyProtection="0"/>
    <xf numFmtId="0" fontId="108" fillId="0" borderId="0">
      <alignment horizontal="left"/>
    </xf>
    <xf numFmtId="0" fontId="106" fillId="0" borderId="0" applyNumberFormat="0" applyFill="0" applyBorder="0" applyAlignment="0" applyProtection="0">
      <alignment vertical="top"/>
      <protection locked="0"/>
    </xf>
    <xf numFmtId="10" fontId="75" fillId="38" borderId="30" applyNumberFormat="0" applyBorder="0" applyAlignment="0" applyProtection="0"/>
    <xf numFmtId="0" fontId="109" fillId="0" borderId="33"/>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8" fillId="0" borderId="0" applyFont="0" applyFill="0" applyBorder="0" applyAlignment="0" applyProtection="0"/>
    <xf numFmtId="0" fontId="109" fillId="0" borderId="0"/>
    <xf numFmtId="43" fontId="5" fillId="0" borderId="0" applyFont="0" applyFill="0" applyBorder="0" applyAlignment="0" applyProtection="0"/>
    <xf numFmtId="43" fontId="4" fillId="0" borderId="0" applyFont="0" applyFill="0" applyBorder="0" applyAlignment="0" applyProtection="0"/>
    <xf numFmtId="0" fontId="110" fillId="0" borderId="0"/>
    <xf numFmtId="187" fontId="5" fillId="0" borderId="0"/>
    <xf numFmtId="43" fontId="65" fillId="0" borderId="0" applyFont="0" applyFill="0" applyBorder="0" applyAlignment="0" applyProtection="0"/>
    <xf numFmtId="9" fontId="65" fillId="0" borderId="0" applyFont="0" applyFill="0" applyBorder="0" applyAlignment="0" applyProtection="0"/>
    <xf numFmtId="43" fontId="65" fillId="0" borderId="0" applyFont="0" applyFill="0" applyBorder="0" applyAlignment="0" applyProtection="0"/>
    <xf numFmtId="9" fontId="65"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8" fillId="0" borderId="0"/>
    <xf numFmtId="197" fontId="118" fillId="0" borderId="0"/>
    <xf numFmtId="198" fontId="119" fillId="0" borderId="0"/>
    <xf numFmtId="43" fontId="5" fillId="0" borderId="0" applyFont="0" applyFill="0" applyBorder="0" applyAlignment="0" applyProtection="0"/>
    <xf numFmtId="175" fontId="4" fillId="0" borderId="0"/>
    <xf numFmtId="199" fontId="116" fillId="0" borderId="0"/>
    <xf numFmtId="199" fontId="116" fillId="0" borderId="0"/>
    <xf numFmtId="199" fontId="116" fillId="0" borderId="0"/>
    <xf numFmtId="199" fontId="116" fillId="0" borderId="0"/>
    <xf numFmtId="199" fontId="116"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6"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6" fillId="0" borderId="0"/>
    <xf numFmtId="199" fontId="116"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2"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0" fillId="0" borderId="0" applyFont="0" applyFill="0" applyBorder="0" applyAlignment="0" applyProtection="0"/>
    <xf numFmtId="205" fontId="68" fillId="0" borderId="0" applyFont="0" applyFill="0" applyBorder="0" applyAlignment="0" applyProtection="0"/>
    <xf numFmtId="206" fontId="4" fillId="0" borderId="0" applyFont="0" applyFill="0" applyBorder="0" applyAlignment="0" applyProtection="0"/>
    <xf numFmtId="193" fontId="121" fillId="0" borderId="0" applyFont="0" applyFill="0" applyBorder="0" applyAlignment="0" applyProtection="0"/>
    <xf numFmtId="204" fontId="92" fillId="0" borderId="0" applyFont="0" applyFill="0" applyBorder="0" applyAlignment="0" applyProtection="0"/>
    <xf numFmtId="205" fontId="121" fillId="0" borderId="0" applyFont="0" applyFill="0" applyBorder="0" applyAlignment="0" applyProtection="0"/>
    <xf numFmtId="206" fontId="92" fillId="0" borderId="0" applyFont="0" applyFill="0" applyBorder="0" applyAlignment="0" applyProtection="0"/>
    <xf numFmtId="207" fontId="122"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0" fillId="0" borderId="0" applyNumberFormat="0" applyFont="0" applyFill="0" applyBorder="0" applyAlignment="0" applyProtection="0"/>
    <xf numFmtId="208" fontId="4" fillId="0" borderId="0" applyFont="0" applyFill="0" applyBorder="0" applyAlignment="0" applyProtection="0"/>
    <xf numFmtId="187" fontId="123"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5"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116"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116"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1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125" fillId="0" borderId="0" applyNumberFormat="0" applyFill="0" applyBorder="0" applyAlignment="0" applyProtection="0"/>
    <xf numFmtId="187" fontId="4" fillId="58"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1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116"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4"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4" fillId="0" borderId="0" applyNumberFormat="0" applyFill="0" applyBorder="0" applyAlignment="0" applyProtection="0"/>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126" fillId="0" borderId="0" applyNumberFormat="0" applyFill="0" applyBorder="0" applyProtection="0">
      <alignment vertical="top"/>
    </xf>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114" fillId="0" borderId="38" applyNumberFormat="0" applyFill="0" applyProtection="0">
      <alignment horizontal="center"/>
    </xf>
    <xf numFmtId="187" fontId="4" fillId="0" borderId="36" applyNumberFormat="0" applyFont="0" applyFill="0" applyAlignment="0" applyProtection="0"/>
    <xf numFmtId="187" fontId="4" fillId="0" borderId="36" applyNumberFormat="0" applyFont="0" applyFill="0" applyAlignment="0" applyProtection="0"/>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14" fillId="0" borderId="0" applyNumberFormat="0" applyFill="0" applyBorder="0" applyProtection="0">
      <alignment horizontal="left"/>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127" fillId="0" borderId="0" applyNumberFormat="0" applyFill="0" applyBorder="0" applyProtection="0">
      <alignment horizontal="centerContinuous"/>
    </xf>
    <xf numFmtId="187" fontId="55" fillId="0" borderId="0" applyNumberFormat="0" applyFill="0" applyBorder="0" applyAlignment="0" applyProtection="0"/>
    <xf numFmtId="187" fontId="55" fillId="0" borderId="0" applyNumberFormat="0" applyFill="0" applyBorder="0" applyAlignment="0" applyProtection="0"/>
    <xf numFmtId="187" fontId="55" fillId="0" borderId="0" applyNumberFormat="0" applyFill="0" applyBorder="0" applyAlignment="0" applyProtection="0"/>
    <xf numFmtId="187" fontId="128" fillId="0" borderId="0" applyFont="0" applyFill="0" applyBorder="0" applyAlignment="0" applyProtection="0"/>
    <xf numFmtId="187" fontId="128" fillId="0" borderId="0" applyFont="0" applyFill="0" applyBorder="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9" fontId="129" fillId="0" borderId="0" applyFont="0" applyFill="0" applyBorder="0" applyAlignment="0" applyProtection="0"/>
    <xf numFmtId="37" fontId="4" fillId="0" borderId="0" applyFont="0" applyFill="0" applyBorder="0" applyAlignment="0" applyProtection="0"/>
    <xf numFmtId="211" fontId="120" fillId="0" borderId="0" applyFont="0" applyFill="0" applyBorder="0" applyAlignment="0" applyProtection="0"/>
    <xf numFmtId="39" fontId="120" fillId="0" borderId="0" applyFont="0" applyFill="0" applyBorder="0" applyAlignment="0" applyProtection="0"/>
    <xf numFmtId="246" fontId="4" fillId="0" borderId="0" applyFont="0" applyFill="0" applyBorder="0" applyAlignment="0" applyProtection="0"/>
    <xf numFmtId="247" fontId="120" fillId="0" borderId="0" applyFont="0" applyFill="0" applyBorder="0" applyAlignment="0" applyProtection="0"/>
    <xf numFmtId="175" fontId="129" fillId="0" borderId="0" applyFont="0" applyFill="0" applyBorder="0" applyAlignment="0" applyProtection="0"/>
    <xf numFmtId="39" fontId="121" fillId="0" borderId="0" applyFont="0" applyFill="0" applyBorder="0" applyAlignment="0" applyProtection="0"/>
    <xf numFmtId="10" fontId="129" fillId="0" borderId="0" applyFont="0" applyFill="0" applyBorder="0" applyAlignment="0" applyProtection="0"/>
    <xf numFmtId="246" fontId="92" fillId="0" borderId="0" applyFont="0" applyFill="0" applyBorder="0" applyAlignment="0" applyProtection="0">
      <alignment horizontal="right"/>
    </xf>
    <xf numFmtId="248" fontId="129" fillId="0" borderId="0" applyFont="0" applyFill="0" applyBorder="0" applyAlignment="0" applyProtection="0"/>
    <xf numFmtId="39" fontId="67" fillId="0" borderId="0" applyFont="0" applyFill="0" applyBorder="0" applyAlignment="0" applyProtection="0"/>
    <xf numFmtId="187" fontId="65" fillId="39"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65" fillId="4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65"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130" fillId="39" borderId="0" applyNumberFormat="0" applyBorder="0" applyAlignment="0" applyProtection="0"/>
    <xf numFmtId="187" fontId="5" fillId="14"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65"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130" fillId="40" borderId="0" applyNumberFormat="0" applyBorder="0" applyAlignment="0" applyProtection="0"/>
    <xf numFmtId="187" fontId="5" fillId="18"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65"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130" fillId="41" borderId="0" applyNumberFormat="0" applyBorder="0" applyAlignment="0" applyProtection="0"/>
    <xf numFmtId="187" fontId="5" fillId="2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6"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65"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130" fillId="43" borderId="0" applyNumberFormat="0" applyBorder="0" applyAlignment="0" applyProtection="0"/>
    <xf numFmtId="187" fontId="5" fillId="30"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5" fillId="34" borderId="0" applyNumberFormat="0" applyBorder="0" applyAlignment="0" applyProtection="0"/>
    <xf numFmtId="187" fontId="65" fillId="39" borderId="0" applyNumberFormat="0" applyBorder="0" applyAlignment="0" applyProtection="0"/>
    <xf numFmtId="187" fontId="65" fillId="40" borderId="0" applyNumberFormat="0" applyBorder="0" applyAlignment="0" applyProtection="0"/>
    <xf numFmtId="187" fontId="65" fillId="41" borderId="0" applyNumberFormat="0" applyBorder="0" applyAlignment="0" applyProtection="0"/>
    <xf numFmtId="187" fontId="65" fillId="42" borderId="0" applyNumberFormat="0" applyBorder="0" applyAlignment="0" applyProtection="0"/>
    <xf numFmtId="187" fontId="65" fillId="43" borderId="0" applyNumberFormat="0" applyBorder="0" applyAlignment="0" applyProtection="0"/>
    <xf numFmtId="187" fontId="65" fillId="44" borderId="0" applyNumberFormat="0" applyBorder="0" applyAlignment="0" applyProtection="0"/>
    <xf numFmtId="246" fontId="67" fillId="0" borderId="0" applyFont="0" applyFill="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8"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15"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65"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130" fillId="46" borderId="0" applyNumberFormat="0" applyBorder="0" applyAlignment="0" applyProtection="0"/>
    <xf numFmtId="187" fontId="5" fillId="19"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5" fillId="23"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65"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130" fillId="42" borderId="0" applyNumberFormat="0" applyBorder="0" applyAlignment="0" applyProtection="0"/>
    <xf numFmtId="187" fontId="5" fillId="27"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5" fillId="31"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5" fillId="35" borderId="0" applyNumberFormat="0" applyBorder="0" applyAlignment="0" applyProtection="0"/>
    <xf numFmtId="187" fontId="65" fillId="45" borderId="0" applyNumberFormat="0" applyBorder="0" applyAlignment="0" applyProtection="0"/>
    <xf numFmtId="187" fontId="65" fillId="46" borderId="0" applyNumberFormat="0" applyBorder="0" applyAlignment="0" applyProtection="0"/>
    <xf numFmtId="187" fontId="65" fillId="47" borderId="0" applyNumberFormat="0" applyBorder="0" applyAlignment="0" applyProtection="0"/>
    <xf numFmtId="187" fontId="65" fillId="42"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66"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9"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66"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6"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66"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47"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131" fillId="52" borderId="0" applyNumberFormat="0" applyBorder="0" applyAlignment="0" applyProtection="0"/>
    <xf numFmtId="187" fontId="66" fillId="49" borderId="0" applyNumberFormat="0" applyBorder="0" applyAlignment="0" applyProtection="0"/>
    <xf numFmtId="187" fontId="66" fillId="46" borderId="0" applyNumberFormat="0" applyBorder="0" applyAlignment="0" applyProtection="0"/>
    <xf numFmtId="187" fontId="66" fillId="47"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2"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2" fillId="0" borderId="0" applyFont="0" applyFill="0" applyBorder="0" applyAlignment="0" applyProtection="0"/>
    <xf numFmtId="250" fontId="132" fillId="0" borderId="0" applyFont="0" applyFill="0" applyBorder="0" applyAlignment="0" applyProtection="0"/>
    <xf numFmtId="249" fontId="132" fillId="0" borderId="0" applyFont="0" applyFill="0" applyBorder="0" applyAlignment="0" applyProtection="0"/>
    <xf numFmtId="251" fontId="4" fillId="62" borderId="39">
      <alignment horizontal="center" vertical="center"/>
    </xf>
    <xf numFmtId="251" fontId="4" fillId="62" borderId="39">
      <alignment horizontal="center" vertical="center"/>
    </xf>
    <xf numFmtId="251" fontId="4" fillId="62" borderId="39">
      <alignment horizontal="center" vertical="center"/>
    </xf>
    <xf numFmtId="251" fontId="4" fillId="62" borderId="39">
      <alignment horizontal="center" vertic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187" fontId="111" fillId="0" borderId="0" applyNumberFormat="0" applyFont="0" applyBorder="0" applyAlignment="0">
      <alignment horizontal="center"/>
    </xf>
    <xf numFmtId="252" fontId="133" fillId="0" borderId="0" applyFill="0" applyBorder="0" applyProtection="0">
      <alignment horizontal="center"/>
    </xf>
    <xf numFmtId="187" fontId="4" fillId="0" borderId="0" applyNumberFormat="0" applyFont="0" applyBorder="0" applyAlignment="0"/>
    <xf numFmtId="187" fontId="134"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11" fillId="0" borderId="0" applyNumberFormat="0" applyFill="0" applyBorder="0" applyAlignment="0" applyProtection="0"/>
    <xf numFmtId="187" fontId="134" fillId="0" borderId="0" applyNumberFormat="0" applyFont="0" applyBorder="0" applyAlignment="0"/>
    <xf numFmtId="187" fontId="134" fillId="0" borderId="0" applyNumberFormat="0" applyFont="0" applyBorder="0" applyAlignment="0"/>
    <xf numFmtId="187" fontId="134" fillId="0" borderId="0" applyNumberFormat="0" applyFont="0" applyBorder="0" applyAlignment="0"/>
    <xf numFmtId="187" fontId="4" fillId="0" borderId="34">
      <protection hidden="1"/>
    </xf>
    <xf numFmtId="187" fontId="4" fillId="0" borderId="34">
      <protection hidden="1"/>
    </xf>
    <xf numFmtId="187" fontId="135" fillId="53" borderId="34" applyNumberFormat="0" applyFont="0" applyBorder="0" applyAlignment="0" applyProtection="0">
      <protection hidden="1"/>
    </xf>
    <xf numFmtId="187" fontId="136" fillId="0" borderId="34">
      <protection hidden="1"/>
    </xf>
    <xf numFmtId="187" fontId="113" fillId="63" borderId="0" applyNumberFormat="0" applyFont="0" applyAlignment="0" applyProtection="0">
      <protection locked="0"/>
    </xf>
    <xf numFmtId="187" fontId="78" fillId="0" borderId="0" applyNumberFormat="0" applyFill="0" applyBorder="0" applyAlignment="0" applyProtection="0"/>
    <xf numFmtId="187" fontId="120" fillId="0" borderId="0" applyNumberFormat="0" applyFill="0" applyBorder="0" applyAlignment="0" applyProtection="0"/>
    <xf numFmtId="187" fontId="132" fillId="0" borderId="0" applyNumberFormat="0" applyFill="0" applyBorder="0" applyAlignment="0" applyProtection="0"/>
    <xf numFmtId="187" fontId="137" fillId="0" borderId="12" applyNumberFormat="0" applyFill="0" applyAlignment="0" applyProtection="0"/>
    <xf numFmtId="178" fontId="138" fillId="0" borderId="0">
      <alignment vertical="top"/>
    </xf>
    <xf numFmtId="178" fontId="70" fillId="0" borderId="0">
      <alignment horizontal="right"/>
    </xf>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5"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139" fillId="41" borderId="0" applyNumberFormat="0" applyBorder="0" applyAlignment="0" applyProtection="0"/>
    <xf numFmtId="187" fontId="92" fillId="0" borderId="33" applyNumberFormat="0" applyFon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253" fontId="4" fillId="0" borderId="0" applyFont="0" applyFill="0" applyBorder="0" applyAlignment="0" applyProtection="0"/>
    <xf numFmtId="187" fontId="95" fillId="41" borderId="0" applyNumberFormat="0" applyBorder="0" applyAlignment="0" applyProtection="0"/>
    <xf numFmtId="187" fontId="128" fillId="0" borderId="0" applyFont="0" applyFill="0" applyBorder="0" applyAlignment="0" applyProtection="0"/>
    <xf numFmtId="187" fontId="85" fillId="0" borderId="19" applyNumberFormat="0" applyFill="0" applyAlignment="0" applyProtection="0"/>
    <xf numFmtId="187" fontId="86" fillId="0" borderId="20" applyNumberFormat="0" applyFill="0" applyAlignment="0" applyProtection="0"/>
    <xf numFmtId="187" fontId="87" fillId="0" borderId="21" applyNumberFormat="0" applyFill="0" applyAlignment="0" applyProtection="0"/>
    <xf numFmtId="187" fontId="87" fillId="0" borderId="0" applyNumberFormat="0" applyFill="0" applyBorder="0" applyAlignment="0" applyProtection="0"/>
    <xf numFmtId="254" fontId="4" fillId="0" borderId="0">
      <alignment vertical="center"/>
    </xf>
    <xf numFmtId="255" fontId="4" fillId="0" borderId="0">
      <alignment vertical="center"/>
    </xf>
    <xf numFmtId="39" fontId="140" fillId="0" borderId="0" applyFill="0" applyBorder="0" applyAlignment="0"/>
    <xf numFmtId="256" fontId="4" fillId="0" borderId="0">
      <alignment vertical="center"/>
    </xf>
    <xf numFmtId="257" fontId="4" fillId="0" borderId="0">
      <alignment vertical="center"/>
    </xf>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07" fillId="0" borderId="0"/>
    <xf numFmtId="187" fontId="96" fillId="60" borderId="24" applyNumberFormat="0" applyAlignment="0" applyProtection="0"/>
    <xf numFmtId="187" fontId="97" fillId="0" borderId="25" applyNumberFormat="0" applyFill="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6"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142" fillId="60" borderId="24" applyNumberFormat="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97"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43" fillId="0" borderId="25" applyNumberFormat="0" applyFill="0" applyAlignment="0" applyProtection="0"/>
    <xf numFmtId="187" fontId="117" fillId="65" borderId="32" applyFont="0" applyFill="0" applyBorder="0"/>
    <xf numFmtId="187" fontId="117" fillId="65" borderId="32" applyFont="0" applyFill="0" applyBorder="0"/>
    <xf numFmtId="187" fontId="117" fillId="65" borderId="32" applyFont="0" applyFill="0" applyBorder="0"/>
    <xf numFmtId="187" fontId="117" fillId="65" borderId="32" applyFont="0" applyFill="0" applyBorder="0"/>
    <xf numFmtId="187" fontId="75" fillId="0" borderId="34"/>
    <xf numFmtId="187" fontId="75" fillId="0" borderId="34"/>
    <xf numFmtId="187" fontId="75" fillId="0" borderId="34"/>
    <xf numFmtId="187" fontId="75" fillId="0" borderId="34"/>
    <xf numFmtId="187" fontId="75" fillId="0" borderId="34"/>
    <xf numFmtId="187" fontId="80" fillId="0" borderId="0">
      <alignment horizontal="center" wrapText="1"/>
      <protection hidden="1"/>
    </xf>
    <xf numFmtId="187" fontId="93" fillId="0" borderId="0" applyNumberFormat="0" applyFill="0" applyBorder="0" applyAlignment="0" applyProtection="0">
      <alignment vertical="top"/>
      <protection locked="0"/>
    </xf>
    <xf numFmtId="211" fontId="144" fillId="0" borderId="0" applyFont="0" applyFill="0" applyBorder="0" applyAlignment="0" applyProtection="0"/>
    <xf numFmtId="231" fontId="145" fillId="0" borderId="0" applyFont="0" applyFill="0" applyBorder="0" applyAlignment="0" applyProtection="0">
      <alignment horizontal="right"/>
    </xf>
    <xf numFmtId="258" fontId="145"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5" fillId="0" borderId="0" applyFont="0" applyFill="0" applyBorder="0" applyAlignment="0" applyProtection="0"/>
    <xf numFmtId="3" fontId="75" fillId="0" borderId="0"/>
    <xf numFmtId="187" fontId="110" fillId="0" borderId="0"/>
    <xf numFmtId="187" fontId="146" fillId="0" borderId="0"/>
    <xf numFmtId="187" fontId="110" fillId="0" borderId="0"/>
    <xf numFmtId="187" fontId="110" fillId="0" borderId="0"/>
    <xf numFmtId="187" fontId="146" fillId="0" borderId="0"/>
    <xf numFmtId="187" fontId="110" fillId="0" borderId="0"/>
    <xf numFmtId="187" fontId="147" fillId="66" borderId="0">
      <alignment horizontal="center" vertical="center" wrapText="1"/>
    </xf>
    <xf numFmtId="175" fontId="148" fillId="0" borderId="0" applyNumberFormat="0" applyFill="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5" fillId="41" borderId="0" applyNumberFormat="0" applyBorder="0" applyAlignment="0" applyProtection="0"/>
    <xf numFmtId="190" fontId="4" fillId="0" borderId="0">
      <alignment horizontal="center"/>
    </xf>
    <xf numFmtId="190" fontId="4" fillId="0" borderId="0">
      <alignment horizontal="center"/>
    </xf>
    <xf numFmtId="260" fontId="75" fillId="0" borderId="0"/>
    <xf numFmtId="261" fontId="75" fillId="0" borderId="0"/>
    <xf numFmtId="262" fontId="145" fillId="0" borderId="0" applyFont="0" applyFill="0" applyBorder="0" applyAlignment="0" applyProtection="0">
      <alignment horizontal="right"/>
    </xf>
    <xf numFmtId="200" fontId="145"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8" fillId="0" borderId="0" applyFont="0" applyFill="0" applyBorder="0" applyAlignment="0" applyProtection="0"/>
    <xf numFmtId="187" fontId="4" fillId="0" borderId="0" applyFont="0" applyFill="0" applyBorder="0" applyAlignment="0" applyProtection="0"/>
    <xf numFmtId="14" fontId="117" fillId="61" borderId="29" applyFill="0" applyBorder="0">
      <alignment horizontal="right"/>
    </xf>
    <xf numFmtId="15" fontId="117" fillId="0" borderId="0" applyFill="0" applyBorder="0" applyAlignment="0"/>
    <xf numFmtId="264" fontId="117" fillId="63" borderId="0" applyFont="0" applyFill="0" applyBorder="0" applyAlignment="0" applyProtection="0"/>
    <xf numFmtId="265" fontId="149" fillId="63" borderId="35"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264" fontId="75" fillId="63" borderId="0" applyFont="0" applyFill="0" applyBorder="0" applyAlignment="0" applyProtection="0"/>
    <xf numFmtId="17" fontId="117" fillId="0" borderId="0" applyFill="0" applyBorder="0">
      <alignment horizontal="right"/>
    </xf>
    <xf numFmtId="266" fontId="4" fillId="0" borderId="12"/>
    <xf numFmtId="266" fontId="4" fillId="0" borderId="12"/>
    <xf numFmtId="14" fontId="117" fillId="61" borderId="29" applyFill="0" applyBorder="0">
      <alignment horizontal="right"/>
    </xf>
    <xf numFmtId="267" fontId="145" fillId="0" borderId="0" applyFont="0" applyFill="0" applyBorder="0" applyAlignment="0" applyProtection="0"/>
    <xf numFmtId="14" fontId="117" fillId="61" borderId="29" applyFill="0" applyBorder="0">
      <alignment horizontal="right"/>
    </xf>
    <xf numFmtId="265" fontId="117" fillId="0" borderId="0" applyFill="0" applyBorder="0">
      <alignment horizontal="right"/>
    </xf>
    <xf numFmtId="268" fontId="4" fillId="0" borderId="0"/>
    <xf numFmtId="187" fontId="150" fillId="67" borderId="41" applyNumberFormat="0" applyBorder="0" applyAlignment="0">
      <alignment horizontal="center"/>
      <protection hidden="1"/>
    </xf>
    <xf numFmtId="37" fontId="137" fillId="68" borderId="42" applyNumberFormat="0" applyAlignment="0">
      <alignment horizontal="left"/>
    </xf>
    <xf numFmtId="41" fontId="151" fillId="0" borderId="0" applyFont="0" applyFill="0" applyBorder="0" applyAlignment="0" applyProtection="0"/>
    <xf numFmtId="269" fontId="4" fillId="0" borderId="0" applyFont="0" applyFill="0" applyBorder="0" applyAlignment="0" applyProtection="0"/>
    <xf numFmtId="187" fontId="74" fillId="0" borderId="0">
      <protection locked="0"/>
    </xf>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87" fontId="4" fillId="69" borderId="0" applyNumberFormat="0" applyFont="0" applyBorder="0" applyAlignment="0" applyProtection="0"/>
    <xf numFmtId="165" fontId="4" fillId="0" borderId="0"/>
    <xf numFmtId="193" fontId="75" fillId="0" borderId="0"/>
    <xf numFmtId="270" fontId="145" fillId="0" borderId="43" applyNumberFormat="0" applyFont="0" applyFill="0" applyAlignment="0" applyProtection="0"/>
    <xf numFmtId="194" fontId="152" fillId="0" borderId="0" applyFill="0" applyBorder="0" applyAlignment="0" applyProtection="0"/>
    <xf numFmtId="187" fontId="88" fillId="0" borderId="0">
      <protection locked="0"/>
    </xf>
    <xf numFmtId="187" fontId="88" fillId="0" borderId="0">
      <protection locked="0"/>
    </xf>
    <xf numFmtId="187" fontId="87" fillId="0" borderId="0" applyNumberFormat="0" applyFill="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66"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4"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66"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5"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66"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6"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66"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0"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66"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1"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131" fillId="57" borderId="0" applyNumberFormat="0" applyBorder="0" applyAlignment="0" applyProtection="0"/>
    <xf numFmtId="187" fontId="66" fillId="54" borderId="0" applyNumberFormat="0" applyBorder="0" applyAlignment="0" applyProtection="0"/>
    <xf numFmtId="187" fontId="66" fillId="55" borderId="0" applyNumberFormat="0" applyBorder="0" applyAlignment="0" applyProtection="0"/>
    <xf numFmtId="187" fontId="66" fillId="56" borderId="0" applyNumberFormat="0" applyBorder="0" applyAlignment="0" applyProtection="0"/>
    <xf numFmtId="187" fontId="66" fillId="50" borderId="0" applyNumberFormat="0" applyBorder="0" applyAlignment="0" applyProtection="0"/>
    <xf numFmtId="187" fontId="66" fillId="51" borderId="0" applyNumberFormat="0" applyBorder="0" applyAlignment="0" applyProtection="0"/>
    <xf numFmtId="187" fontId="66" fillId="57" borderId="0" applyNumberFormat="0" applyBorder="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4" fillId="0" borderId="0">
      <alignment horizontal="right" vertical="top"/>
    </xf>
    <xf numFmtId="272" fontId="155" fillId="0" borderId="0">
      <alignment horizontal="right" vertical="top"/>
    </xf>
    <xf numFmtId="272" fontId="154" fillId="0" borderId="0">
      <alignment horizontal="right" vertical="top"/>
    </xf>
    <xf numFmtId="273" fontId="68" fillId="0" borderId="0" applyFill="0" applyBorder="0">
      <alignment horizontal="right" vertical="top"/>
    </xf>
    <xf numFmtId="274" fontId="68" fillId="0" borderId="0" applyFill="0" applyBorder="0">
      <alignment horizontal="right" vertical="top"/>
    </xf>
    <xf numFmtId="275" fontId="68" fillId="0" borderId="0" applyFill="0" applyBorder="0">
      <alignment horizontal="right" vertical="top"/>
    </xf>
    <xf numFmtId="276" fontId="68" fillId="0" borderId="0" applyFill="0" applyBorder="0">
      <alignment horizontal="right" vertical="top"/>
    </xf>
    <xf numFmtId="187" fontId="156" fillId="0" borderId="0">
      <alignment horizontal="center" wrapText="1"/>
    </xf>
    <xf numFmtId="277" fontId="157" fillId="0" borderId="0" applyFill="0" applyBorder="0">
      <alignment vertical="top"/>
    </xf>
    <xf numFmtId="277" fontId="158" fillId="0" borderId="0" applyFill="0" applyBorder="0" applyProtection="0">
      <alignment vertical="top"/>
    </xf>
    <xf numFmtId="277" fontId="159" fillId="0" borderId="0">
      <alignment vertical="top"/>
    </xf>
    <xf numFmtId="41" fontId="68" fillId="0" borderId="0" applyFill="0" applyBorder="0" applyAlignment="0" applyProtection="0">
      <alignment horizontal="right" vertical="top"/>
    </xf>
    <xf numFmtId="277" fontId="160" fillId="0" borderId="0"/>
    <xf numFmtId="187" fontId="68" fillId="0" borderId="0" applyFill="0" applyBorder="0">
      <alignment horizontal="left" vertical="top"/>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4" fillId="0" borderId="0">
      <protection locked="0"/>
    </xf>
    <xf numFmtId="187" fontId="75" fillId="0" borderId="0" applyFont="0" applyFill="0" applyBorder="0" applyAlignment="0" applyProtection="0">
      <alignment horizontal="right"/>
    </xf>
    <xf numFmtId="278" fontId="4" fillId="63" borderId="0" applyFont="0" applyFill="0" applyBorder="0" applyAlignment="0"/>
    <xf numFmtId="187" fontId="75" fillId="0" borderId="0" applyFont="0" applyFill="0" applyBorder="0" applyAlignment="0" applyProtection="0">
      <alignment horizontal="right"/>
    </xf>
    <xf numFmtId="2" fontId="4" fillId="0" borderId="0" applyFont="0" applyFill="0" applyBorder="0" applyAlignment="0" applyProtection="0"/>
    <xf numFmtId="187" fontId="161" fillId="0" borderId="0" applyNumberFormat="0" applyFill="0" applyBorder="0" applyAlignment="0" applyProtection="0">
      <alignment vertical="top"/>
      <protection locked="0"/>
    </xf>
    <xf numFmtId="187" fontId="162" fillId="0" borderId="0" applyFill="0" applyBorder="0" applyProtection="0">
      <alignment horizontal="left"/>
    </xf>
    <xf numFmtId="39" fontId="163" fillId="0" borderId="27" applyAlignment="0"/>
    <xf numFmtId="38" fontId="164" fillId="0" borderId="34" applyBorder="0"/>
    <xf numFmtId="2" fontId="4" fillId="0" borderId="0"/>
    <xf numFmtId="187" fontId="165" fillId="0" borderId="0" applyNumberFormat="0" applyFill="0" applyBorder="0" applyAlignment="0" applyProtection="0"/>
    <xf numFmtId="38" fontId="75" fillId="38" borderId="0" applyNumberFormat="0" applyBorder="0" applyAlignment="0" applyProtection="0"/>
    <xf numFmtId="38" fontId="75" fillId="38" borderId="0" applyNumberFormat="0" applyBorder="0" applyAlignment="0" applyProtection="0"/>
    <xf numFmtId="279" fontId="145" fillId="0" borderId="0" applyFont="0" applyFill="0" applyBorder="0" applyAlignment="0" applyProtection="0">
      <alignment horizontal="right"/>
    </xf>
    <xf numFmtId="187" fontId="108" fillId="0" borderId="0">
      <alignment horizontal="left"/>
    </xf>
    <xf numFmtId="187" fontId="72" fillId="0" borderId="31" applyNumberFormat="0" applyAlignment="0" applyProtection="0">
      <alignment horizontal="left" vertical="center"/>
    </xf>
    <xf numFmtId="187" fontId="72" fillId="0" borderId="28">
      <alignment horizontal="left" vertical="center"/>
    </xf>
    <xf numFmtId="187" fontId="72" fillId="0" borderId="28">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6" fillId="0" borderId="0" applyNumberFormat="0" applyFont="0" applyFill="0" applyBorder="0" applyAlignment="0">
      <alignment horizontal="left"/>
    </xf>
    <xf numFmtId="187" fontId="120" fillId="0" borderId="44" applyNumberFormat="0" applyFill="0" applyAlignment="0" applyProtection="0"/>
    <xf numFmtId="187" fontId="93" fillId="0" borderId="0" applyNumberFormat="0" applyFill="0" applyBorder="0" applyAlignment="0" applyProtection="0">
      <alignment vertical="top"/>
      <protection locked="0"/>
    </xf>
    <xf numFmtId="187" fontId="167" fillId="0" borderId="0" applyNumberFormat="0" applyFill="0" applyBorder="0" applyAlignment="0" applyProtection="0">
      <alignment vertical="top"/>
      <protection locked="0"/>
    </xf>
    <xf numFmtId="187" fontId="93" fillId="0" borderId="0" applyNumberFormat="0" applyFill="0" applyBorder="0" applyAlignment="0" applyProtection="0">
      <alignment vertical="top"/>
      <protection locked="0"/>
    </xf>
    <xf numFmtId="187" fontId="168" fillId="0" borderId="0" applyNumberFormat="0" applyFill="0" applyBorder="0" applyAlignment="0" applyProtection="0"/>
    <xf numFmtId="187" fontId="169" fillId="0" borderId="0" applyNumberFormat="0" applyFill="0" applyBorder="0" applyAlignment="0" applyProtection="0">
      <alignment vertical="top"/>
      <protection locked="0"/>
    </xf>
    <xf numFmtId="187" fontId="170" fillId="0" borderId="0" applyNumberFormat="0" applyFill="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76"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171" fillId="40" borderId="0" applyNumberFormat="0" applyBorder="0" applyAlignment="0" applyProtection="0"/>
    <xf numFmtId="187" fontId="67" fillId="0" borderId="0"/>
    <xf numFmtId="281" fontId="4" fillId="0" borderId="0"/>
    <xf numFmtId="282" fontId="4" fillId="0" borderId="0"/>
    <xf numFmtId="283" fontId="4" fillId="0" borderId="0"/>
    <xf numFmtId="284" fontId="4" fillId="0" borderId="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261" fontId="75" fillId="0" borderId="0"/>
    <xf numFmtId="265" fontId="75" fillId="63" borderId="0" applyFont="0" applyBorder="0" applyAlignment="0" applyProtection="0">
      <protection locked="0"/>
    </xf>
    <xf numFmtId="278" fontId="75" fillId="63" borderId="0" applyFont="0" applyBorder="0" applyAlignment="0">
      <protection locked="0"/>
    </xf>
    <xf numFmtId="248" fontId="75" fillId="0" borderId="0"/>
    <xf numFmtId="285" fontId="75" fillId="0" borderId="0"/>
    <xf numFmtId="10" fontId="75" fillId="63" borderId="0">
      <protection locked="0"/>
    </xf>
    <xf numFmtId="286" fontId="4" fillId="0" borderId="0"/>
    <xf numFmtId="248" fontId="172" fillId="63" borderId="0" applyNumberFormat="0" applyBorder="0" applyAlignment="0">
      <protection locked="0"/>
    </xf>
    <xf numFmtId="287" fontId="136" fillId="0" borderId="0"/>
    <xf numFmtId="38" fontId="173" fillId="0" borderId="0"/>
    <xf numFmtId="38" fontId="174" fillId="0" borderId="0"/>
    <xf numFmtId="38" fontId="175" fillId="0" borderId="0"/>
    <xf numFmtId="38" fontId="176" fillId="0" borderId="0"/>
    <xf numFmtId="187" fontId="177" fillId="0" borderId="0"/>
    <xf numFmtId="187" fontId="177" fillId="0" borderId="0"/>
    <xf numFmtId="187" fontId="4" fillId="0" borderId="0"/>
    <xf numFmtId="187" fontId="97" fillId="0" borderId="25" applyNumberFormat="0" applyFill="0" applyAlignment="0" applyProtection="0"/>
    <xf numFmtId="187" fontId="97" fillId="0" borderId="25" applyNumberFormat="0" applyFill="0" applyAlignment="0" applyProtection="0"/>
    <xf numFmtId="187" fontId="4" fillId="0" borderId="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0" borderId="34">
      <alignment horizontal="left"/>
      <protection locked="0"/>
    </xf>
    <xf numFmtId="187" fontId="4" fillId="0" borderId="34">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9" fillId="0" borderId="33"/>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4"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5"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5" fillId="37" borderId="0" applyFont="0" applyBorder="0" applyAlignment="0" applyProtection="0">
      <alignment horizontal="right"/>
      <protection hidden="1"/>
    </xf>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179" fillId="58" borderId="0" applyNumberFormat="0" applyBorder="0" applyAlignment="0" applyProtection="0"/>
    <xf numFmtId="187" fontId="77" fillId="58" borderId="0" applyNumberFormat="0" applyBorder="0" applyAlignment="0" applyProtection="0"/>
    <xf numFmtId="37" fontId="148" fillId="0" borderId="0"/>
    <xf numFmtId="166" fontId="4" fillId="0" borderId="0" applyFont="0" applyFill="0" applyBorder="0" applyAlignment="0" applyProtection="0"/>
    <xf numFmtId="187" fontId="67"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187" fontId="111"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5" fillId="0" borderId="30" applyFont="0" applyFill="0" applyBorder="0" applyAlignment="0" applyProtection="0"/>
    <xf numFmtId="38" fontId="75" fillId="0" borderId="30" applyFont="0" applyFill="0" applyBorder="0" applyAlignment="0" applyProtection="0"/>
    <xf numFmtId="248" fontId="4" fillId="0" borderId="0" applyFont="0" applyFill="0" applyBorder="0" applyAlignment="0"/>
    <xf numFmtId="40" fontId="75" fillId="0" borderId="0" applyFont="0" applyFill="0" applyBorder="0" applyAlignment="0"/>
    <xf numFmtId="286" fontId="75" fillId="0" borderId="0" applyFont="0" applyFill="0" applyBorder="0" applyAlignment="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1" fillId="0" borderId="0"/>
    <xf numFmtId="187" fontId="180"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12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2"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5" fillId="0" borderId="0"/>
    <xf numFmtId="187" fontId="5" fillId="0" borderId="0"/>
    <xf numFmtId="187" fontId="5" fillId="0" borderId="0"/>
    <xf numFmtId="187" fontId="5" fillId="0" borderId="0"/>
    <xf numFmtId="187" fontId="4"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applyNumberFormat="0" applyFill="0" applyBorder="0" applyAlignment="0" applyProtection="0"/>
    <xf numFmtId="187" fontId="6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4" fillId="0" borderId="0"/>
    <xf numFmtId="187" fontId="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187" fontId="65" fillId="0" borderId="0"/>
    <xf numFmtId="187" fontId="6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5" fillId="0" borderId="0"/>
    <xf numFmtId="248" fontId="117" fillId="0" borderId="0" applyNumberFormat="0" applyFill="0" applyBorder="0" applyAlignment="0" applyProtection="0"/>
    <xf numFmtId="300" fontId="75" fillId="0" borderId="0" applyFont="0" applyFill="0" applyBorder="0" applyAlignment="0" applyProtection="0"/>
    <xf numFmtId="40" fontId="117" fillId="0" borderId="0">
      <alignment horizontal="left"/>
    </xf>
    <xf numFmtId="187" fontId="68" fillId="0" borderId="0"/>
    <xf numFmtId="187" fontId="4" fillId="0" borderId="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65" fillId="59" borderId="17"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6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5" fillId="12" borderId="9"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301" fontId="75" fillId="0" borderId="0" applyFont="0" applyFill="0" applyBorder="0" applyAlignment="0" applyProtection="0"/>
    <xf numFmtId="248" fontId="116"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6" fillId="0" borderId="0"/>
    <xf numFmtId="248" fontId="116" fillId="0" borderId="0"/>
    <xf numFmtId="248" fontId="116" fillId="0" borderId="0"/>
    <xf numFmtId="248" fontId="116" fillId="0" borderId="0"/>
    <xf numFmtId="305" fontId="75" fillId="0" borderId="0" applyFont="0" applyFill="0" applyBorder="0" applyAlignment="0" applyProtection="0"/>
    <xf numFmtId="187" fontId="135" fillId="0" borderId="0"/>
    <xf numFmtId="187" fontId="184" fillId="0" borderId="46"/>
    <xf numFmtId="187" fontId="80" fillId="0" borderId="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40" fontId="185" fillId="38" borderId="0">
      <alignment horizontal="right"/>
    </xf>
    <xf numFmtId="187" fontId="186" fillId="38" borderId="0">
      <alignment horizontal="right"/>
    </xf>
    <xf numFmtId="187" fontId="187" fillId="38" borderId="26"/>
    <xf numFmtId="187" fontId="187" fillId="0" borderId="0" applyBorder="0">
      <alignment horizontal="centerContinuous"/>
    </xf>
    <xf numFmtId="187" fontId="188" fillId="0" borderId="0" applyBorder="0">
      <alignment horizontal="centerContinuous"/>
    </xf>
    <xf numFmtId="1" fontId="189" fillId="0" borderId="0" applyProtection="0">
      <alignment horizontal="right" vertical="center"/>
    </xf>
    <xf numFmtId="306" fontId="190" fillId="0" borderId="0"/>
    <xf numFmtId="187" fontId="75" fillId="0" borderId="0"/>
    <xf numFmtId="307" fontId="4" fillId="0" borderId="0" applyFont="0" applyFill="0" applyBorder="0" applyAlignment="0"/>
    <xf numFmtId="308" fontId="75"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4"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5"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1" fillId="0" borderId="0">
      <protection locked="0"/>
    </xf>
    <xf numFmtId="187" fontId="4" fillId="0" borderId="0">
      <protection locked="0"/>
    </xf>
    <xf numFmtId="187" fontId="113" fillId="0" borderId="0">
      <protection locked="0"/>
    </xf>
    <xf numFmtId="187" fontId="192" fillId="0" borderId="47"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8" fillId="0" borderId="0" applyFont="0" applyFill="0" applyBorder="0" applyAlignment="0" applyProtection="0"/>
    <xf numFmtId="9" fontId="4" fillId="0" borderId="0" applyNumberFormat="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5" fillId="0" borderId="0" applyFont="0" applyFill="0" applyBorder="0" applyAlignment="0" applyProtection="0"/>
    <xf numFmtId="9" fontId="4" fillId="0" borderId="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4" fillId="0" borderId="0">
      <protection locked="0"/>
    </xf>
    <xf numFmtId="187" fontId="80" fillId="0" borderId="0" applyNumberFormat="0" applyFont="0" applyFill="0" applyBorder="0" applyAlignment="0" applyProtection="0">
      <alignment horizontal="left"/>
    </xf>
    <xf numFmtId="15" fontId="80" fillId="0" borderId="0" applyFont="0" applyFill="0" applyBorder="0" applyAlignment="0" applyProtection="0"/>
    <xf numFmtId="4" fontId="80" fillId="0" borderId="0" applyFont="0" applyFill="0" applyBorder="0" applyAlignment="0" applyProtection="0"/>
    <xf numFmtId="187" fontId="194" fillId="0" borderId="33">
      <alignment horizontal="center"/>
    </xf>
    <xf numFmtId="3" fontId="80" fillId="0" borderId="0" applyFont="0" applyFill="0" applyBorder="0" applyAlignment="0" applyProtection="0"/>
    <xf numFmtId="187" fontId="80" fillId="65" borderId="0" applyNumberFormat="0" applyFont="0" applyBorder="0" applyAlignment="0" applyProtection="0"/>
    <xf numFmtId="3" fontId="4" fillId="0" borderId="0" applyFont="0" applyFill="0" applyBorder="0" applyAlignment="0" applyProtection="0"/>
    <xf numFmtId="187" fontId="195" fillId="0" borderId="0" applyNumberFormat="0" applyFill="0" applyBorder="0" applyAlignment="0" applyProtection="0"/>
    <xf numFmtId="248" fontId="196" fillId="0" borderId="0" applyNumberFormat="0" applyFill="0" applyBorder="0" applyAlignment="0" applyProtection="0">
      <alignment horizontal="left"/>
    </xf>
    <xf numFmtId="187" fontId="4" fillId="0" borderId="34" applyNumberFormat="0" applyFill="0" applyBorder="0" applyAlignment="0" applyProtection="0">
      <protection hidden="1"/>
    </xf>
    <xf numFmtId="187" fontId="4" fillId="0" borderId="34" applyNumberFormat="0" applyFill="0" applyBorder="0" applyAlignment="0" applyProtection="0">
      <protection hidden="1"/>
    </xf>
    <xf numFmtId="38" fontId="129" fillId="0" borderId="0"/>
    <xf numFmtId="187" fontId="75" fillId="0" borderId="0">
      <alignment horizontal="right"/>
    </xf>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4" fillId="0" borderId="48">
      <alignment vertical="center"/>
    </xf>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174" fontId="180" fillId="0" borderId="0" applyFill="0" applyBorder="0" applyAlignment="0" applyProtection="0"/>
    <xf numFmtId="43" fontId="4"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5" fillId="0" borderId="0" applyFont="0" applyFill="0" applyBorder="0" applyAlignment="0" applyProtection="0"/>
    <xf numFmtId="197"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74" fontId="6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5" fillId="0" borderId="0" applyFont="0" applyFill="0" applyBorder="0" applyAlignment="0" applyProtection="0"/>
    <xf numFmtId="197" fontId="6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87" fontId="180" fillId="0" borderId="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0" fillId="0" borderId="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187"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5" fillId="72" borderId="50">
      <alignment horizontal="left" wrapText="1"/>
    </xf>
    <xf numFmtId="187" fontId="202" fillId="72" borderId="51">
      <alignment vertical="center"/>
    </xf>
    <xf numFmtId="311" fontId="203" fillId="72" borderId="52">
      <alignment horizontal="left" vertical="center"/>
    </xf>
    <xf numFmtId="194" fontId="204" fillId="0" borderId="0" applyFill="0" applyBorder="0" applyAlignment="0" applyProtection="0"/>
    <xf numFmtId="187" fontId="205" fillId="0" borderId="0"/>
    <xf numFmtId="187" fontId="128" fillId="0" borderId="0"/>
    <xf numFmtId="187" fontId="4" fillId="0" borderId="0"/>
    <xf numFmtId="248" fontId="75" fillId="73" borderId="0" applyNumberFormat="0" applyFont="0" applyBorder="0" applyAlignment="0">
      <protection hidden="1"/>
    </xf>
    <xf numFmtId="187" fontId="109" fillId="0" borderId="0"/>
    <xf numFmtId="187" fontId="112" fillId="0" borderId="0" applyFill="0" applyBorder="0" applyProtection="0">
      <alignment horizontal="center" vertical="center"/>
    </xf>
    <xf numFmtId="187" fontId="206" fillId="0" borderId="0" applyBorder="0" applyProtection="0">
      <alignment vertical="center"/>
    </xf>
    <xf numFmtId="270" fontId="206" fillId="0" borderId="12" applyBorder="0" applyProtection="0">
      <alignment horizontal="right" vertical="center"/>
    </xf>
    <xf numFmtId="270" fontId="206" fillId="0" borderId="12" applyBorder="0" applyProtection="0">
      <alignment horizontal="right" vertical="center"/>
    </xf>
    <xf numFmtId="187" fontId="207" fillId="74" borderId="0" applyBorder="0" applyProtection="0">
      <alignment horizontal="centerContinuous" vertical="center"/>
    </xf>
    <xf numFmtId="187" fontId="207" fillId="75" borderId="12" applyBorder="0" applyProtection="0">
      <alignment horizontal="centerContinuous" vertical="center"/>
    </xf>
    <xf numFmtId="187" fontId="207" fillId="75" borderId="12" applyBorder="0" applyProtection="0">
      <alignment horizontal="centerContinuous" vertical="center"/>
    </xf>
    <xf numFmtId="187" fontId="206" fillId="0" borderId="0" applyBorder="0" applyProtection="0">
      <alignment vertical="center"/>
    </xf>
    <xf numFmtId="187" fontId="4" fillId="0" borderId="0"/>
    <xf numFmtId="187" fontId="208" fillId="0" borderId="0" applyFill="0" applyBorder="0" applyProtection="0">
      <alignment horizontal="left"/>
    </xf>
    <xf numFmtId="187" fontId="162" fillId="0" borderId="23" applyFill="0" applyBorder="0" applyProtection="0">
      <alignment horizontal="left" vertical="top"/>
    </xf>
    <xf numFmtId="187" fontId="162" fillId="0" borderId="23" applyFill="0" applyBorder="0" applyProtection="0">
      <alignment horizontal="left" vertical="top"/>
    </xf>
    <xf numFmtId="187" fontId="158" fillId="0" borderId="0">
      <alignment horizontal="centerContinuous"/>
    </xf>
    <xf numFmtId="37" fontId="209" fillId="0" borderId="11" applyFill="0" applyBorder="0" applyAlignment="0">
      <alignment horizontal="left"/>
    </xf>
    <xf numFmtId="248" fontId="4" fillId="76" borderId="0" applyNumberFormat="0" applyFont="0" applyBorder="0" applyAlignment="0" applyProtection="0"/>
    <xf numFmtId="187" fontId="4" fillId="0" borderId="0"/>
    <xf numFmtId="187" fontId="4" fillId="0" borderId="0"/>
    <xf numFmtId="187" fontId="99"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99"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82"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187" fontId="211" fillId="0" borderId="0" applyNumberFormat="0" applyFill="0" applyBorder="0" applyAlignment="0" applyProtection="0"/>
    <xf numFmtId="312" fontId="209" fillId="0" borderId="0" applyFill="0" applyBorder="0" applyAlignment="0" applyProtection="0">
      <alignment horizontal="right"/>
    </xf>
    <xf numFmtId="313" fontId="75" fillId="0" borderId="0">
      <alignment horizontal="center"/>
    </xf>
    <xf numFmtId="187" fontId="68" fillId="0" borderId="0" applyNumberFormat="0" applyFill="0" applyBorder="0" applyAlignment="0" applyProtection="0"/>
    <xf numFmtId="187" fontId="128" fillId="0" borderId="0" applyNumberFormat="0" applyFill="0" applyBorder="0" applyAlignment="0" applyProtection="0"/>
    <xf numFmtId="187" fontId="80" fillId="0" borderId="0" applyBorder="0"/>
    <xf numFmtId="187" fontId="84" fillId="0" borderId="0" applyNumberFormat="0" applyFill="0" applyBorder="0" applyAlignment="0" applyProtection="0"/>
    <xf numFmtId="187" fontId="85"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7"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7"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7" fontId="84" fillId="0" borderId="0" applyNumberFormat="0" applyFill="0" applyBorder="0" applyAlignment="0" applyProtection="0"/>
    <xf numFmtId="183" fontId="88" fillId="0" borderId="30">
      <protection locked="0"/>
    </xf>
    <xf numFmtId="187" fontId="4" fillId="53" borderId="34"/>
    <xf numFmtId="187" fontId="4" fillId="53" borderId="34"/>
    <xf numFmtId="187" fontId="89" fillId="0" borderId="53"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89" fillId="0" borderId="22" applyNumberFormat="0" applyFill="0" applyAlignment="0" applyProtection="0"/>
    <xf numFmtId="187" fontId="89"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187" fontId="215" fillId="0" borderId="2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78" fontId="216" fillId="0" borderId="0">
      <alignment horizontal="left"/>
      <protection locked="0"/>
    </xf>
    <xf numFmtId="187" fontId="4" fillId="0" borderId="0">
      <alignment horizontal="fill"/>
    </xf>
    <xf numFmtId="37" fontId="75" fillId="61" borderId="0" applyNumberFormat="0" applyBorder="0" applyAlignment="0" applyProtection="0"/>
    <xf numFmtId="37" fontId="75" fillId="0" borderId="0"/>
    <xf numFmtId="37" fontId="75" fillId="61" borderId="0" applyNumberFormat="0" applyBorder="0" applyAlignment="0" applyProtection="0"/>
    <xf numFmtId="3" fontId="149" fillId="0" borderId="44" applyProtection="0"/>
    <xf numFmtId="314" fontId="68" fillId="0" borderId="0" applyFont="0" applyFill="0" applyBorder="0" applyAlignment="0" applyProtection="0"/>
    <xf numFmtId="315" fontId="4" fillId="0" borderId="0" applyFont="0" applyFill="0" applyBorder="0" applyAlignment="0" applyProtection="0"/>
    <xf numFmtId="314" fontId="68" fillId="0" borderId="0" applyFont="0" applyFill="0" applyBorder="0" applyAlignment="0" applyProtection="0"/>
    <xf numFmtId="187" fontId="96" fillId="60" borderId="24"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1" fillId="0" borderId="0" applyFont="0" applyFill="0" applyBorder="0" applyAlignment="0" applyProtection="0"/>
    <xf numFmtId="251" fontId="151" fillId="0" borderId="0" applyFont="0" applyFill="0" applyBorder="0" applyAlignment="0" applyProtection="0"/>
    <xf numFmtId="248" fontId="217" fillId="0" borderId="0" applyNumberFormat="0" applyFill="0" applyBorder="0" applyAlignment="0" applyProtection="0"/>
    <xf numFmtId="186" fontId="4" fillId="0" borderId="0"/>
    <xf numFmtId="314" fontId="116" fillId="0" borderId="0"/>
    <xf numFmtId="314" fontId="116" fillId="0" borderId="0"/>
    <xf numFmtId="314" fontId="116" fillId="0" borderId="0"/>
    <xf numFmtId="314" fontId="116" fillId="0" borderId="0"/>
    <xf numFmtId="314" fontId="116"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6"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6" fillId="0" borderId="0"/>
    <xf numFmtId="314" fontId="116"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8" fillId="0" borderId="12" applyBorder="0" applyProtection="0">
      <alignment horizontal="right"/>
    </xf>
    <xf numFmtId="316" fontId="218" fillId="0" borderId="12" applyBorder="0" applyProtection="0">
      <alignment horizontal="right"/>
    </xf>
    <xf numFmtId="1" fontId="219" fillId="0" borderId="34">
      <alignment horizontal="center"/>
    </xf>
    <xf numFmtId="1" fontId="219" fillId="0" borderId="34">
      <alignment horizontal="center"/>
    </xf>
    <xf numFmtId="26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5" fillId="0" borderId="0"/>
    <xf numFmtId="0" fontId="65" fillId="39"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98" fillId="44" borderId="16" applyNumberFormat="0" applyAlignment="0" applyProtection="0"/>
    <xf numFmtId="0" fontId="76" fillId="40" borderId="0" applyNumberFormat="0" applyBorder="0" applyAlignment="0" applyProtection="0"/>
    <xf numFmtId="184" fontId="65" fillId="0" borderId="0" applyFont="0" applyFill="0" applyBorder="0" applyAlignment="0" applyProtection="0"/>
    <xf numFmtId="0" fontId="77" fillId="58" borderId="0" applyNumberFormat="0" applyBorder="0" applyAlignment="0" applyProtection="0"/>
    <xf numFmtId="0" fontId="65" fillId="59" borderId="17" applyNumberFormat="0" applyFont="0" applyAlignment="0" applyProtection="0"/>
    <xf numFmtId="0" fontId="65" fillId="59" borderId="17" applyNumberFormat="0" applyFont="0" applyAlignment="0" applyProtection="0"/>
    <xf numFmtId="0" fontId="79" fillId="53" borderId="18" applyNumberFormat="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4" fillId="0" borderId="0">
      <alignment vertical="top"/>
    </xf>
    <xf numFmtId="43" fontId="65" fillId="0" borderId="0" applyFont="0" applyFill="0" applyBorder="0" applyAlignment="0" applyProtection="0"/>
    <xf numFmtId="43" fontId="65" fillId="0" borderId="0" applyFont="0" applyFill="0" applyBorder="0" applyAlignment="0" applyProtection="0"/>
    <xf numFmtId="187" fontId="5" fillId="0" borderId="0"/>
    <xf numFmtId="9"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4" fillId="0" borderId="30">
      <alignment horizontal="right"/>
    </xf>
    <xf numFmtId="187" fontId="4" fillId="0" borderId="30">
      <alignment horizontal="right"/>
    </xf>
    <xf numFmtId="245" fontId="4" fillId="0" borderId="30">
      <alignment horizontal="left" vertical="center" wrapText="1"/>
    </xf>
    <xf numFmtId="245" fontId="4" fillId="0" borderId="30">
      <alignment horizontal="left" vertical="center" wrapText="1"/>
    </xf>
    <xf numFmtId="187" fontId="130" fillId="39" borderId="0" applyNumberFormat="0" applyBorder="0" applyAlignment="0" applyProtection="0"/>
    <xf numFmtId="187" fontId="130" fillId="40" borderId="0" applyNumberFormat="0" applyBorder="0" applyAlignment="0" applyProtection="0"/>
    <xf numFmtId="187" fontId="130" fillId="41" borderId="0" applyNumberFormat="0" applyBorder="0" applyAlignment="0" applyProtection="0"/>
    <xf numFmtId="187" fontId="130" fillId="42" borderId="0" applyNumberFormat="0" applyBorder="0" applyAlignment="0" applyProtection="0"/>
    <xf numFmtId="187" fontId="130" fillId="43"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6" borderId="0" applyNumberFormat="0" applyBorder="0" applyAlignment="0" applyProtection="0"/>
    <xf numFmtId="187" fontId="130" fillId="47" borderId="0" applyNumberFormat="0" applyBorder="0" applyAlignment="0" applyProtection="0"/>
    <xf numFmtId="187" fontId="130" fillId="42"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14" fontId="117" fillId="61" borderId="29" applyFill="0" applyBorder="0">
      <alignment horizontal="right"/>
    </xf>
    <xf numFmtId="14" fontId="117" fillId="61" borderId="29" applyFill="0" applyBorder="0">
      <alignment horizontal="right"/>
    </xf>
    <xf numFmtId="187" fontId="150" fillId="67" borderId="41" applyNumberFormat="0" applyBorder="0" applyAlignment="0">
      <alignment horizontal="center"/>
      <protection hidden="1"/>
    </xf>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39" fontId="163" fillId="0" borderId="27" applyAlignment="0"/>
    <xf numFmtId="187" fontId="72" fillId="0" borderId="28">
      <alignment horizontal="left" vertical="center"/>
    </xf>
    <xf numFmtId="187" fontId="72" fillId="0" borderId="28">
      <alignment horizontal="left" vertical="center"/>
    </xf>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0" fontId="75" fillId="38" borderId="30" applyNumberFormat="0" applyBorder="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5" fillId="0" borderId="30" applyFont="0" applyFill="0" applyBorder="0" applyAlignment="0" applyProtection="0"/>
    <xf numFmtId="38" fontId="75" fillId="0" borderId="3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184" fillId="0" borderId="46"/>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79"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64"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197" fillId="53" borderId="18" applyNumberFormat="0" applyAlignment="0" applyProtection="0"/>
    <xf numFmtId="187" fontId="79" fillId="53" borderId="18" applyNumberFormat="0" applyAlignment="0" applyProtection="0"/>
    <xf numFmtId="187" fontId="79" fillId="53" borderId="18" applyNumberFormat="0" applyAlignment="0" applyProtection="0"/>
    <xf numFmtId="4" fontId="78" fillId="71" borderId="49" applyNumberFormat="0" applyProtection="0">
      <alignment horizontal="left" vertical="center" indent="1"/>
    </xf>
    <xf numFmtId="187" fontId="198" fillId="66" borderId="30">
      <alignment horizontal="center" vertical="center" wrapText="1"/>
      <protection hidden="1"/>
    </xf>
    <xf numFmtId="187" fontId="198" fillId="66" borderId="30">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183" fontId="88" fillId="0" borderId="30">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9"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4" fillId="0" borderId="0"/>
    <xf numFmtId="187" fontId="4" fillId="0" borderId="0"/>
    <xf numFmtId="187" fontId="65" fillId="0" borderId="0"/>
    <xf numFmtId="187" fontId="65" fillId="0" borderId="0"/>
    <xf numFmtId="187" fontId="65" fillId="0" borderId="0"/>
    <xf numFmtId="187" fontId="65" fillId="0" borderId="0"/>
    <xf numFmtId="187" fontId="65" fillId="0" borderId="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65" fillId="0" borderId="0"/>
    <xf numFmtId="187" fontId="65" fillId="0" borderId="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 fillId="0" borderId="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55" fillId="0" borderId="37" applyNumberFormat="0" applyFill="0" applyAlignment="0" applyProtection="0"/>
    <xf numFmtId="187" fontId="184" fillId="0" borderId="46"/>
    <xf numFmtId="0" fontId="5" fillId="0" borderId="0"/>
    <xf numFmtId="0" fontId="5" fillId="0" borderId="0"/>
    <xf numFmtId="0" fontId="5" fillId="0" borderId="0"/>
    <xf numFmtId="0" fontId="4" fillId="0" borderId="0"/>
    <xf numFmtId="0" fontId="128" fillId="0" borderId="0"/>
    <xf numFmtId="43" fontId="128"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0" fillId="0" borderId="0" applyFont="0" applyFill="0" applyBorder="0" applyAlignment="0" applyProtection="0"/>
    <xf numFmtId="0" fontId="161" fillId="0" borderId="0" applyNumberFormat="0" applyFill="0" applyBorder="0" applyAlignment="0" applyProtection="0">
      <alignment vertical="top"/>
      <protection locked="0"/>
    </xf>
    <xf numFmtId="176"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0" fillId="0" borderId="0"/>
    <xf numFmtId="319"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0" fontId="65" fillId="59" borderId="17" applyNumberFormat="0" applyFont="0" applyAlignment="0" applyProtection="0"/>
    <xf numFmtId="0" fontId="65" fillId="59" borderId="17" applyNumberFormat="0" applyFon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4" fontId="117" fillId="61" borderId="29"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9" fillId="0" borderId="11" applyFill="0" applyBorder="0" applyAlignment="0">
      <alignment horizontal="left"/>
    </xf>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8"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0" fontId="73" fillId="53" borderId="16" applyNumberFormat="0" applyAlignment="0" applyProtection="0"/>
    <xf numFmtId="0" fontId="98" fillId="44" borderId="16" applyNumberFormat="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43" fontId="65" fillId="0" borderId="0" applyFont="0" applyFill="0" applyBorder="0" applyAlignment="0" applyProtection="0"/>
    <xf numFmtId="6" fontId="4" fillId="0" borderId="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41" fontId="68" fillId="0" borderId="0" applyFill="0" applyBorder="0" applyAlignment="0" applyProtection="0">
      <alignment horizontal="right" vertical="top"/>
    </xf>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8" fillId="71" borderId="49"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5" fillId="0" borderId="0" applyFont="0" applyFill="0" applyBorder="0" applyAlignment="0" applyProtection="0"/>
    <xf numFmtId="6" fontId="4" fillId="0" borderId="0"/>
    <xf numFmtId="41" fontId="68"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0"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199"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0"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20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6" applyNumberFormat="0" applyFont="0" applyFill="0" applyAlignment="0" applyProtection="0"/>
    <xf numFmtId="187" fontId="4" fillId="0" borderId="36" applyNumberFormat="0" applyFont="0" applyFill="0" applyAlignment="0" applyProtection="0"/>
    <xf numFmtId="187" fontId="137" fillId="0" borderId="54" applyNumberFormat="0" applyFill="0" applyAlignment="0" applyProtection="0"/>
    <xf numFmtId="187" fontId="92" fillId="0" borderId="40" applyNumberFormat="0" applyFont="0" applyFill="0" applyAlignment="0" applyProtection="0"/>
    <xf numFmtId="187" fontId="92" fillId="0" borderId="40" applyNumberFormat="0" applyFont="0" applyFill="0" applyAlignment="0" applyProtection="0"/>
    <xf numFmtId="14" fontId="117" fillId="61" borderId="29" applyFill="0" applyBorder="0">
      <alignment horizontal="right"/>
    </xf>
    <xf numFmtId="266" fontId="4" fillId="0" borderId="54"/>
    <xf numFmtId="266" fontId="4" fillId="0" borderId="54"/>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65" fillId="0" borderId="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270" fontId="206" fillId="0" borderId="54" applyBorder="0" applyProtection="0">
      <alignment horizontal="right" vertical="center"/>
    </xf>
    <xf numFmtId="270" fontId="206" fillId="0" borderId="54" applyBorder="0" applyProtection="0">
      <alignment horizontal="right" vertical="center"/>
    </xf>
    <xf numFmtId="187" fontId="207" fillId="75" borderId="54" applyBorder="0" applyProtection="0">
      <alignment horizontal="centerContinuous" vertical="center"/>
    </xf>
    <xf numFmtId="187" fontId="207" fillId="75" borderId="54" applyBorder="0" applyProtection="0">
      <alignment horizontal="centerContinuous" vertical="center"/>
    </xf>
    <xf numFmtId="37" fontId="209" fillId="0" borderId="11" applyFill="0" applyBorder="0" applyAlignment="0">
      <alignment horizontal="left"/>
    </xf>
    <xf numFmtId="316" fontId="218" fillId="0" borderId="54" applyBorder="0" applyProtection="0">
      <alignment horizontal="right"/>
    </xf>
    <xf numFmtId="316" fontId="218" fillId="0" borderId="54" applyBorder="0" applyProtection="0">
      <alignment horizontal="right"/>
    </xf>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65" fillId="59" borderId="17" applyNumberFormat="0" applyFont="0" applyAlignment="0" applyProtection="0"/>
    <xf numFmtId="0" fontId="65" fillId="59" borderId="17" applyNumberFormat="0" applyFon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4"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187" fontId="65" fillId="59" borderId="17" applyNumberFormat="0" applyFont="0" applyAlignment="0" applyProtection="0"/>
    <xf numFmtId="0" fontId="73" fillId="53" borderId="16" applyNumberFormat="0" applyAlignment="0" applyProtection="0"/>
    <xf numFmtId="0" fontId="98" fillId="44"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73"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73" fillId="64"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141" fillId="53" borderId="16" applyNumberFormat="0" applyAlignment="0" applyProtection="0"/>
    <xf numFmtId="187" fontId="98"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70"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153"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98" fillId="44" borderId="16" applyNumberFormat="0" applyAlignment="0" applyProtection="0"/>
    <xf numFmtId="187" fontId="112" fillId="37" borderId="45" applyNumberFormat="0" applyFont="0" applyFill="0" applyBorder="0" applyAlignment="0">
      <alignment horizontal="center" vertical="center" wrapText="1"/>
    </xf>
    <xf numFmtId="187" fontId="112" fillId="37" borderId="45"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5" fillId="42"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73" fillId="53" borderId="16" applyNumberFormat="0" applyAlignment="0" applyProtection="0"/>
    <xf numFmtId="0" fontId="66"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7" borderId="0" applyNumberFormat="0" applyBorder="0" applyAlignment="0" applyProtection="0"/>
    <xf numFmtId="0" fontId="79" fillId="53" borderId="18" applyNumberFormat="0" applyAlignment="0" applyProtection="0"/>
    <xf numFmtId="0" fontId="82"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7" fillId="0" borderId="0"/>
    <xf numFmtId="0" fontId="4" fillId="0" borderId="0">
      <alignment vertical="center"/>
    </xf>
    <xf numFmtId="0" fontId="36" fillId="0" borderId="54"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5" fillId="0" borderId="0" applyFont="0" applyFill="0" applyBorder="0" applyAlignment="0" applyProtection="0"/>
    <xf numFmtId="0" fontId="128" fillId="0" borderId="0"/>
    <xf numFmtId="0" fontId="66" fillId="49"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95" fillId="41" borderId="0" applyNumberFormat="0" applyBorder="0" applyAlignment="0" applyProtection="0"/>
    <xf numFmtId="0" fontId="73" fillId="53" borderId="16" applyNumberFormat="0" applyAlignment="0" applyProtection="0"/>
    <xf numFmtId="0" fontId="96" fillId="60" borderId="24" applyNumberFormat="0" applyAlignment="0" applyProtection="0"/>
    <xf numFmtId="0" fontId="97" fillId="0" borderId="25" applyNumberFormat="0" applyFill="0" applyAlignment="0" applyProtection="0"/>
    <xf numFmtId="3" fontId="4" fillId="0" borderId="0" applyFill="0" applyBorder="0" applyAlignment="0" applyProtection="0"/>
    <xf numFmtId="0" fontId="110" fillId="0" borderId="0"/>
    <xf numFmtId="3" fontId="4" fillId="0" borderId="0" applyFill="0" applyBorder="0" applyAlignment="0" applyProtection="0"/>
    <xf numFmtId="0" fontId="110" fillId="0" borderId="0"/>
    <xf numFmtId="43" fontId="221" fillId="0" borderId="0" applyFont="0" applyFill="0" applyBorder="0" applyAlignment="0" applyProtection="0"/>
    <xf numFmtId="0" fontId="98" fillId="44" borderId="16" applyNumberFormat="0" applyAlignment="0" applyProtection="0"/>
    <xf numFmtId="0" fontId="76" fillId="40" borderId="0" applyNumberFormat="0" applyBorder="0" applyAlignment="0" applyProtection="0"/>
    <xf numFmtId="0" fontId="77" fillId="58" borderId="0" applyNumberFormat="0" applyBorder="0" applyAlignment="0" applyProtection="0"/>
    <xf numFmtId="0" fontId="4" fillId="59" borderId="17" applyNumberFormat="0" applyFont="0" applyAlignment="0" applyProtection="0"/>
    <xf numFmtId="0" fontId="79" fillId="53" borderId="18" applyNumberFormat="0" applyAlignment="0" applyProtection="0"/>
    <xf numFmtId="43" fontId="128" fillId="0" borderId="0" applyFont="0" applyFill="0" applyBorder="0" applyAlignment="0" applyProtection="0"/>
    <xf numFmtId="43" fontId="221"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9" fontId="221" fillId="0" borderId="0" applyFont="0" applyFill="0" applyBorder="0" applyAlignment="0" applyProtection="0"/>
    <xf numFmtId="43" fontId="221" fillId="0" borderId="0" applyFont="0" applyFill="0" applyBorder="0" applyAlignment="0" applyProtection="0"/>
    <xf numFmtId="43" fontId="4" fillId="0" borderId="0" applyFont="0" applyFill="0" applyBorder="0" applyAlignment="0" applyProtection="0"/>
    <xf numFmtId="0" fontId="221" fillId="0" borderId="0"/>
    <xf numFmtId="0" fontId="221"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8" fillId="0" borderId="0"/>
    <xf numFmtId="43" fontId="128" fillId="0" borderId="0" applyFont="0" applyFill="0" applyBorder="0" applyAlignment="0" applyProtection="0"/>
    <xf numFmtId="0" fontId="4" fillId="0" borderId="0"/>
    <xf numFmtId="9" fontId="128" fillId="0" borderId="0" applyFont="0" applyFill="0" applyBorder="0" applyAlignment="0" applyProtection="0"/>
    <xf numFmtId="43" fontId="4" fillId="0" borderId="0" applyFont="0" applyFill="0" applyBorder="0" applyAlignment="0" applyProtection="0"/>
    <xf numFmtId="9" fontId="128"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5" fillId="77" borderId="0" applyNumberFormat="0" applyBorder="0" applyAlignment="0" applyProtection="0"/>
    <xf numFmtId="0" fontId="65" fillId="77" borderId="0" applyNumberFormat="0" applyBorder="0" applyAlignment="0" applyProtection="0"/>
    <xf numFmtId="0" fontId="65" fillId="78" borderId="0" applyNumberFormat="0" applyBorder="0" applyAlignment="0" applyProtection="0"/>
    <xf numFmtId="0" fontId="65" fillId="78" borderId="0" applyNumberFormat="0" applyBorder="0" applyAlignment="0" applyProtection="0"/>
    <xf numFmtId="0" fontId="65" fillId="79" borderId="0" applyNumberFormat="0" applyBorder="0" applyAlignment="0" applyProtection="0"/>
    <xf numFmtId="0" fontId="65" fillId="79"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3" borderId="0" applyNumberFormat="0" applyBorder="0" applyAlignment="0" applyProtection="0"/>
    <xf numFmtId="0" fontId="65"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0" borderId="0" applyNumberFormat="0" applyBorder="0" applyAlignment="0" applyProtection="0"/>
    <xf numFmtId="0" fontId="65" fillId="80"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6" fillId="86" borderId="0" applyNumberFormat="0" applyBorder="0" applyAlignment="0" applyProtection="0"/>
    <xf numFmtId="0" fontId="66" fillId="86" borderId="0" applyNumberFormat="0" applyBorder="0" applyAlignment="0" applyProtection="0"/>
    <xf numFmtId="0" fontId="66" fillId="83" borderId="0" applyNumberFormat="0" applyBorder="0" applyAlignment="0" applyProtection="0"/>
    <xf numFmtId="0" fontId="66" fillId="83" borderId="0" applyNumberFormat="0" applyBorder="0" applyAlignment="0" applyProtection="0"/>
    <xf numFmtId="0" fontId="66" fillId="84" borderId="0" applyNumberFormat="0" applyBorder="0" applyAlignment="0" applyProtection="0"/>
    <xf numFmtId="0" fontId="66" fillId="84"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89" borderId="0" applyNumberFormat="0" applyBorder="0" applyAlignment="0" applyProtection="0"/>
    <xf numFmtId="0" fontId="66" fillId="89" borderId="0" applyNumberFormat="0" applyBorder="0" applyAlignment="0" applyProtection="0"/>
    <xf numFmtId="0" fontId="95" fillId="79" borderId="0" applyNumberFormat="0" applyBorder="0" applyAlignment="0" applyProtection="0"/>
    <xf numFmtId="0" fontId="95" fillId="79" borderId="0" applyNumberFormat="0" applyBorder="0" applyAlignment="0" applyProtection="0"/>
    <xf numFmtId="0" fontId="73" fillId="64" borderId="16" applyNumberFormat="0" applyAlignment="0" applyProtection="0"/>
    <xf numFmtId="0" fontId="73" fillId="64" borderId="16" applyNumberFormat="0" applyAlignment="0" applyProtection="0"/>
    <xf numFmtId="0" fontId="96" fillId="90" borderId="24" applyNumberFormat="0" applyAlignment="0" applyProtection="0"/>
    <xf numFmtId="0" fontId="96" fillId="90" borderId="24" applyNumberFormat="0" applyAlignment="0" applyProtection="0"/>
    <xf numFmtId="0" fontId="66" fillId="91" borderId="0" applyNumberFormat="0" applyBorder="0" applyAlignment="0" applyProtection="0"/>
    <xf numFmtId="0" fontId="66" fillId="91" borderId="0" applyNumberFormat="0" applyBorder="0" applyAlignment="0" applyProtection="0"/>
    <xf numFmtId="0" fontId="66" fillId="92" borderId="0" applyNumberFormat="0" applyBorder="0" applyAlignment="0" applyProtection="0"/>
    <xf numFmtId="0" fontId="66" fillId="92" borderId="0" applyNumberFormat="0" applyBorder="0" applyAlignment="0" applyProtection="0"/>
    <xf numFmtId="0" fontId="66" fillId="93" borderId="0" applyNumberFormat="0" applyBorder="0" applyAlignment="0" applyProtection="0"/>
    <xf numFmtId="0" fontId="66" fillId="93" borderId="0" applyNumberFormat="0" applyBorder="0" applyAlignment="0" applyProtection="0"/>
    <xf numFmtId="0" fontId="66" fillId="87" borderId="0" applyNumberFormat="0" applyBorder="0" applyAlignment="0" applyProtection="0"/>
    <xf numFmtId="0" fontId="66" fillId="87" borderId="0" applyNumberFormat="0" applyBorder="0" applyAlignment="0" applyProtection="0"/>
    <xf numFmtId="0" fontId="66" fillId="88" borderId="0" applyNumberFormat="0" applyBorder="0" applyAlignment="0" applyProtection="0"/>
    <xf numFmtId="0" fontId="66" fillId="88" borderId="0" applyNumberFormat="0" applyBorder="0" applyAlignment="0" applyProtection="0"/>
    <xf numFmtId="0" fontId="66" fillId="94" borderId="0" applyNumberFormat="0" applyBorder="0" applyAlignment="0" applyProtection="0"/>
    <xf numFmtId="0" fontId="66" fillId="94" borderId="0" applyNumberFormat="0" applyBorder="0" applyAlignment="0" applyProtection="0"/>
    <xf numFmtId="0" fontId="98" fillId="70" borderId="16" applyNumberFormat="0" applyAlignment="0" applyProtection="0"/>
    <xf numFmtId="0" fontId="98" fillId="70" borderId="16" applyNumberFormat="0" applyAlignment="0" applyProtection="0"/>
    <xf numFmtId="0" fontId="76" fillId="78" borderId="0" applyNumberFormat="0" applyBorder="0" applyAlignment="0" applyProtection="0"/>
    <xf numFmtId="0" fontId="76" fillId="78"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7" fillId="95" borderId="0" applyNumberFormat="0" applyBorder="0" applyAlignment="0" applyProtection="0"/>
    <xf numFmtId="0" fontId="77" fillId="95" borderId="0" applyNumberFormat="0" applyBorder="0" applyAlignment="0" applyProtection="0"/>
    <xf numFmtId="0" fontId="4" fillId="0" borderId="0"/>
    <xf numFmtId="0" fontId="4" fillId="0" borderId="0"/>
    <xf numFmtId="0" fontId="4" fillId="0" borderId="0"/>
    <xf numFmtId="0" fontId="5" fillId="0" borderId="0"/>
    <xf numFmtId="0" fontId="4" fillId="96" borderId="17" applyNumberFormat="0" applyAlignment="0" applyProtection="0"/>
    <xf numFmtId="0" fontId="4" fillId="96" borderId="17" applyNumberFormat="0" applyAlignment="0" applyProtection="0"/>
    <xf numFmtId="9" fontId="4" fillId="0" borderId="0" applyFill="0" applyBorder="0" applyAlignment="0" applyProtection="0"/>
    <xf numFmtId="9" fontId="4" fillId="0" borderId="0" applyFill="0" applyBorder="0" applyAlignment="0" applyProtection="0"/>
    <xf numFmtId="0" fontId="222" fillId="0" borderId="0">
      <alignment horizontal="left" vertical="top"/>
    </xf>
    <xf numFmtId="0" fontId="79" fillId="64" borderId="18" applyNumberFormat="0" applyAlignment="0" applyProtection="0"/>
    <xf numFmtId="0" fontId="79" fillId="64" borderId="18" applyNumberFormat="0" applyAlignment="0" applyProtection="0"/>
    <xf numFmtId="43" fontId="5" fillId="0" borderId="0" applyFont="0" applyFill="0" applyBorder="0" applyAlignment="0" applyProtection="0"/>
    <xf numFmtId="43" fontId="65" fillId="0" borderId="0" applyFont="0" applyFill="0" applyBorder="0" applyAlignment="0" applyProtection="0"/>
    <xf numFmtId="0" fontId="82" fillId="0" borderId="0" applyNumberFormat="0" applyFill="0" applyBorder="0" applyAlignment="0" applyProtection="0"/>
    <xf numFmtId="0" fontId="84" fillId="0" borderId="0" applyNumberFormat="0" applyFill="0" applyBorder="0" applyAlignment="0" applyProtection="0"/>
    <xf numFmtId="0" fontId="85" fillId="0" borderId="19" applyNumberFormat="0" applyFill="0" applyAlignment="0" applyProtection="0"/>
    <xf numFmtId="0" fontId="84" fillId="0" borderId="0" applyNumberFormat="0" applyFill="0" applyBorder="0" applyAlignment="0" applyProtection="0"/>
    <xf numFmtId="0" fontId="86" fillId="0" borderId="20" applyNumberFormat="0" applyFill="0" applyAlignment="0" applyProtection="0"/>
    <xf numFmtId="0" fontId="4" fillId="0" borderId="0">
      <alignment vertical="top"/>
    </xf>
    <xf numFmtId="0" fontId="87"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0" fontId="5" fillId="0" borderId="0"/>
    <xf numFmtId="0" fontId="7" fillId="0" borderId="0"/>
    <xf numFmtId="0" fontId="97" fillId="0" borderId="25"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5" fillId="0" borderId="0" applyFont="0" applyFill="0" applyBorder="0" applyAlignment="0" applyProtection="0"/>
    <xf numFmtId="0" fontId="99" fillId="0" borderId="0" applyNumberFormat="0" applyFill="0" applyBorder="0" applyAlignment="0" applyProtection="0"/>
    <xf numFmtId="0" fontId="82" fillId="0" borderId="0" applyNumberFormat="0" applyFill="0" applyBorder="0" applyAlignment="0" applyProtection="0"/>
    <xf numFmtId="0" fontId="86" fillId="0" borderId="20" applyNumberFormat="0" applyFill="0" applyAlignment="0" applyProtection="0"/>
    <xf numFmtId="0" fontId="87" fillId="0" borderId="21" applyNumberFormat="0" applyFill="0" applyAlignment="0" applyProtection="0"/>
    <xf numFmtId="0" fontId="87" fillId="0" borderId="0" applyNumberFormat="0" applyFill="0" applyBorder="0" applyAlignment="0" applyProtection="0"/>
    <xf numFmtId="0" fontId="89" fillId="0" borderId="22"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5"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3"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4" fillId="0" borderId="0"/>
    <xf numFmtId="43" fontId="22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8" fillId="0" borderId="0"/>
    <xf numFmtId="43" fontId="128"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1" fillId="0" borderId="0" applyFont="0" applyFill="0" applyBorder="0" applyAlignment="0" applyProtection="0"/>
    <xf numFmtId="43" fontId="221"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9" fillId="0" borderId="0"/>
    <xf numFmtId="43" fontId="5"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4" borderId="1" xfId="0" applyNumberFormat="1" applyFont="1" applyFill="1" applyBorder="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7" fillId="0" borderId="0" xfId="0" applyFont="1"/>
    <xf numFmtId="171" fontId="18" fillId="2" borderId="0" xfId="1" applyNumberFormat="1" applyFont="1" applyFill="1" applyAlignment="1">
      <alignment horizontal="center" vertical="center"/>
    </xf>
    <xf numFmtId="171" fontId="19" fillId="0" borderId="0" xfId="0" applyNumberFormat="1" applyFont="1" applyAlignment="1">
      <alignment horizontal="center" vertical="center"/>
    </xf>
    <xf numFmtId="172" fontId="18" fillId="2" borderId="0" xfId="2" quotePrefix="1" applyNumberFormat="1" applyFont="1" applyFill="1" applyAlignment="1">
      <alignment horizontal="right" vertical="center"/>
    </xf>
    <xf numFmtId="171" fontId="18" fillId="2" borderId="0" xfId="1" applyNumberFormat="1" applyFont="1" applyFill="1" applyAlignment="1">
      <alignment horizontal="left" vertical="center" indent="1"/>
    </xf>
    <xf numFmtId="172" fontId="18" fillId="2"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8" fillId="4" borderId="1" xfId="0" applyNumberFormat="1" applyFont="1" applyFill="1" applyBorder="1" applyAlignment="1">
      <alignment horizontal="left" vertical="center" indent="1"/>
    </xf>
    <xf numFmtId="172" fontId="18" fillId="5" borderId="0" xfId="2" quotePrefix="1" applyNumberFormat="1" applyFont="1" applyFill="1" applyAlignment="1">
      <alignment horizontal="center" vertical="center"/>
    </xf>
    <xf numFmtId="0" fontId="20" fillId="0" borderId="0" xfId="0" applyFont="1"/>
    <xf numFmtId="0" fontId="21" fillId="0" borderId="0" xfId="0" applyFont="1"/>
    <xf numFmtId="0" fontId="22" fillId="0" borderId="0" xfId="0" applyFont="1"/>
    <xf numFmtId="0" fontId="225" fillId="0" borderId="0" xfId="5" applyFont="1" applyAlignment="1">
      <alignment horizontal="left" vertical="center" indent="2"/>
    </xf>
    <xf numFmtId="169" fontId="16" fillId="97" borderId="55" xfId="0" applyNumberFormat="1" applyFont="1" applyFill="1" applyBorder="1" applyAlignment="1">
      <alignment horizontal="left" vertical="center" indent="1"/>
    </xf>
    <xf numFmtId="173" fontId="10" fillId="97" borderId="55" xfId="0" applyNumberFormat="1" applyFont="1" applyFill="1" applyBorder="1" applyAlignment="1">
      <alignment horizontal="right" vertical="center"/>
    </xf>
    <xf numFmtId="175" fontId="225" fillId="0" borderId="0" xfId="4" applyNumberFormat="1" applyFont="1" applyAlignment="1">
      <alignment horizontal="right" vertical="center"/>
    </xf>
    <xf numFmtId="0" fontId="226" fillId="0" borderId="0" xfId="5" applyFont="1" applyAlignment="1">
      <alignment horizontal="left" vertical="center" indent="1"/>
    </xf>
    <xf numFmtId="173" fontId="226" fillId="0" borderId="0" xfId="4" applyNumberFormat="1" applyFont="1" applyAlignment="1">
      <alignment horizontal="center" vertical="center"/>
    </xf>
    <xf numFmtId="173" fontId="226" fillId="0" borderId="0" xfId="4" applyNumberFormat="1" applyFont="1" applyAlignment="1">
      <alignment horizontal="left" vertical="center" indent="1"/>
    </xf>
    <xf numFmtId="173" fontId="226" fillId="0" borderId="0" xfId="4" applyNumberFormat="1" applyFont="1" applyAlignment="1">
      <alignment horizontal="left" vertical="center" indent="3"/>
    </xf>
    <xf numFmtId="169" fontId="227" fillId="97" borderId="55" xfId="0" applyNumberFormat="1" applyFont="1" applyFill="1" applyBorder="1" applyAlignment="1">
      <alignment horizontal="left" vertical="center" indent="1"/>
    </xf>
    <xf numFmtId="169" fontId="227" fillId="97" borderId="55" xfId="0" applyNumberFormat="1" applyFont="1" applyFill="1" applyBorder="1" applyAlignment="1">
      <alignment horizontal="center" vertical="center"/>
    </xf>
    <xf numFmtId="169" fontId="227" fillId="97" borderId="55" xfId="0" applyNumberFormat="1" applyFont="1" applyFill="1" applyBorder="1" applyAlignment="1">
      <alignment horizontal="left" vertical="center" indent="3"/>
    </xf>
    <xf numFmtId="173" fontId="10" fillId="4" borderId="0" xfId="0" applyNumberFormat="1" applyFont="1" applyFill="1" applyAlignment="1">
      <alignment horizontal="center" vertical="center"/>
    </xf>
    <xf numFmtId="171" fontId="228" fillId="0" borderId="0" xfId="3" applyNumberFormat="1" applyFont="1" applyAlignment="1">
      <alignment horizontal="center" vertical="center"/>
    </xf>
    <xf numFmtId="1" fontId="18" fillId="2" borderId="0" xfId="2" quotePrefix="1" applyNumberFormat="1" applyFont="1" applyFill="1" applyAlignment="1">
      <alignment horizontal="center" vertical="center"/>
    </xf>
    <xf numFmtId="3" fontId="225" fillId="0" borderId="0" xfId="4" applyNumberFormat="1" applyFont="1" applyAlignment="1">
      <alignment horizontal="right" vertical="center"/>
    </xf>
    <xf numFmtId="169" fontId="229" fillId="0" borderId="56" xfId="1" applyNumberFormat="1" applyFont="1" applyBorder="1" applyAlignment="1">
      <alignment horizontal="left" vertical="center" indent="1"/>
    </xf>
    <xf numFmtId="174" fontId="229" fillId="0" borderId="56" xfId="3" applyNumberFormat="1" applyFont="1" applyFill="1" applyBorder="1" applyAlignment="1">
      <alignment horizontal="right" vertical="center"/>
    </xf>
    <xf numFmtId="0" fontId="230" fillId="0" borderId="56" xfId="1" applyFont="1" applyBorder="1" applyAlignment="1">
      <alignment horizontal="left" vertical="center" indent="2"/>
    </xf>
    <xf numFmtId="174" fontId="230" fillId="0" borderId="56" xfId="3" applyNumberFormat="1" applyFont="1" applyBorder="1" applyAlignment="1">
      <alignment horizontal="right" vertical="center"/>
    </xf>
    <xf numFmtId="169" fontId="229" fillId="98" borderId="56" xfId="1" applyNumberFormat="1" applyFont="1" applyFill="1" applyBorder="1" applyAlignment="1">
      <alignment horizontal="left" vertical="center" indent="1"/>
    </xf>
    <xf numFmtId="174" fontId="229" fillId="98" borderId="56" xfId="3" applyNumberFormat="1" applyFont="1" applyFill="1" applyBorder="1" applyAlignment="1">
      <alignment horizontal="right" vertical="center"/>
    </xf>
    <xf numFmtId="169" fontId="231" fillId="98" borderId="57" xfId="1" applyNumberFormat="1" applyFont="1" applyFill="1" applyBorder="1" applyAlignment="1">
      <alignment horizontal="left" vertical="center" indent="1"/>
    </xf>
    <xf numFmtId="171" fontId="6" fillId="0" borderId="0" xfId="0" quotePrefix="1" applyNumberFormat="1" applyFont="1" applyAlignment="1">
      <alignment horizontal="center" vertical="center"/>
    </xf>
    <xf numFmtId="0" fontId="1" fillId="0" borderId="0" xfId="0" applyFont="1"/>
    <xf numFmtId="1" fontId="18" fillId="2" borderId="0" xfId="2" quotePrefix="1" applyNumberFormat="1" applyFont="1" applyFill="1" applyAlignment="1">
      <alignment horizontal="right" vertical="center"/>
    </xf>
    <xf numFmtId="174" fontId="232" fillId="0" borderId="57" xfId="5" applyNumberFormat="1" applyFont="1" applyBorder="1" applyAlignment="1">
      <alignment vertical="center"/>
    </xf>
    <xf numFmtId="174" fontId="233" fillId="0" borderId="58" xfId="5" applyNumberFormat="1" applyFont="1" applyBorder="1" applyAlignment="1">
      <alignment vertical="center"/>
    </xf>
    <xf numFmtId="174" fontId="233" fillId="0" borderId="57" xfId="5" applyNumberFormat="1" applyFont="1" applyBorder="1" applyAlignment="1">
      <alignment vertical="center"/>
    </xf>
    <xf numFmtId="174" fontId="234" fillId="98" borderId="57" xfId="3" applyNumberFormat="1" applyFont="1" applyFill="1" applyBorder="1" applyAlignment="1">
      <alignment vertical="center"/>
    </xf>
    <xf numFmtId="174" fontId="232" fillId="97" borderId="57" xfId="0" applyNumberFormat="1" applyFont="1" applyFill="1" applyBorder="1" applyAlignment="1">
      <alignment vertical="center"/>
    </xf>
    <xf numFmtId="174" fontId="235" fillId="3" borderId="57" xfId="5" applyNumberFormat="1" applyFont="1" applyFill="1" applyBorder="1" applyAlignment="1">
      <alignment vertical="center"/>
    </xf>
    <xf numFmtId="174" fontId="234" fillId="97" borderId="57" xfId="0" applyNumberFormat="1" applyFont="1" applyFill="1" applyBorder="1" applyAlignment="1">
      <alignment vertical="center"/>
    </xf>
    <xf numFmtId="0" fontId="236" fillId="0" borderId="57" xfId="5" applyFont="1" applyBorder="1" applyAlignment="1">
      <alignment horizontal="left" vertical="center" indent="1"/>
    </xf>
    <xf numFmtId="0" fontId="237" fillId="0" borderId="58" xfId="5" applyFont="1" applyBorder="1" applyAlignment="1">
      <alignment horizontal="left" vertical="center" indent="2"/>
    </xf>
    <xf numFmtId="0" fontId="237" fillId="0" borderId="57" xfId="5" applyFont="1" applyBorder="1" applyAlignment="1">
      <alignment horizontal="left" vertical="center" indent="2"/>
    </xf>
    <xf numFmtId="169" fontId="238" fillId="98" borderId="57" xfId="0" applyNumberFormat="1" applyFont="1" applyFill="1" applyBorder="1" applyAlignment="1">
      <alignment vertical="center"/>
    </xf>
    <xf numFmtId="0" fontId="237" fillId="0" borderId="57" xfId="5" applyFont="1" applyBorder="1" applyAlignment="1">
      <alignment horizontal="left" vertical="center" indent="1"/>
    </xf>
    <xf numFmtId="169" fontId="236" fillId="97" borderId="57" xfId="0" applyNumberFormat="1" applyFont="1" applyFill="1" applyBorder="1" applyAlignment="1">
      <alignment vertical="center"/>
    </xf>
    <xf numFmtId="0" fontId="239" fillId="3" borderId="57" xfId="5" applyFont="1" applyFill="1" applyBorder="1" applyAlignment="1">
      <alignment horizontal="left" vertical="center" indent="1"/>
    </xf>
    <xf numFmtId="169" fontId="238" fillId="97" borderId="57" xfId="0" applyNumberFormat="1" applyFont="1" applyFill="1" applyBorder="1" applyAlignment="1">
      <alignment vertical="center"/>
    </xf>
    <xf numFmtId="174" fontId="236" fillId="0" borderId="57" xfId="5" applyNumberFormat="1" applyFont="1" applyBorder="1" applyAlignment="1">
      <alignment vertical="center"/>
    </xf>
    <xf numFmtId="174" fontId="237" fillId="0" borderId="58" xfId="5" applyNumberFormat="1" applyFont="1" applyBorder="1" applyAlignment="1">
      <alignment vertical="center"/>
    </xf>
    <xf numFmtId="174" fontId="237" fillId="0" borderId="57" xfId="5" applyNumberFormat="1" applyFont="1" applyBorder="1" applyAlignment="1">
      <alignment vertical="center"/>
    </xf>
    <xf numFmtId="174" fontId="238" fillId="98" borderId="57" xfId="3" applyNumberFormat="1" applyFont="1" applyFill="1" applyBorder="1" applyAlignment="1">
      <alignment vertical="center"/>
    </xf>
    <xf numFmtId="174" fontId="236" fillId="97" borderId="57" xfId="0" applyNumberFormat="1" applyFont="1" applyFill="1" applyBorder="1" applyAlignment="1">
      <alignment vertical="center"/>
    </xf>
    <xf numFmtId="174" fontId="239" fillId="3" borderId="57" xfId="5" applyNumberFormat="1" applyFont="1" applyFill="1" applyBorder="1" applyAlignment="1">
      <alignment vertical="center"/>
    </xf>
    <xf numFmtId="174" fontId="238" fillId="97" borderId="57" xfId="0" applyNumberFormat="1" applyFont="1" applyFill="1" applyBorder="1" applyAlignment="1">
      <alignment vertical="center"/>
    </xf>
    <xf numFmtId="4" fontId="6" fillId="0" borderId="0" xfId="0" applyNumberFormat="1" applyFont="1" applyAlignment="1">
      <alignment horizontal="center" vertical="center"/>
    </xf>
    <xf numFmtId="0" fontId="241" fillId="0" borderId="0" xfId="0" applyFont="1"/>
    <xf numFmtId="321" fontId="226" fillId="0" borderId="0" xfId="4" applyNumberFormat="1" applyFont="1" applyAlignment="1">
      <alignment horizontal="center" vertical="center"/>
    </xf>
    <xf numFmtId="0" fontId="242" fillId="0" borderId="0" xfId="5" applyFont="1" applyAlignment="1">
      <alignment vertical="center" wrapText="1"/>
    </xf>
    <xf numFmtId="322" fontId="229" fillId="98" borderId="56" xfId="3" applyNumberFormat="1" applyFont="1" applyFill="1" applyBorder="1" applyAlignment="1">
      <alignment horizontal="right" vertical="center"/>
    </xf>
    <xf numFmtId="322" fontId="7" fillId="0" borderId="0" xfId="0" applyNumberFormat="1" applyFont="1" applyAlignment="1">
      <alignment horizontal="center" vertical="center"/>
    </xf>
    <xf numFmtId="171" fontId="6" fillId="0" borderId="0" xfId="0" applyNumberFormat="1" applyFont="1" applyAlignment="1">
      <alignment horizontal="left" vertical="center"/>
    </xf>
    <xf numFmtId="0" fontId="15" fillId="0" borderId="0" xfId="0" applyFont="1" applyAlignment="1">
      <alignment horizontal="justify" vertical="top" wrapText="1"/>
    </xf>
    <xf numFmtId="0" fontId="240" fillId="0" borderId="0" xfId="0" applyFont="1" applyAlignment="1">
      <alignment horizontal="left" vertical="center" wrapText="1"/>
    </xf>
    <xf numFmtId="0" fontId="242" fillId="0" borderId="0" xfId="5" applyFont="1" applyAlignment="1">
      <alignment horizontal="center"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3" name="Picture 2">
          <a:extLst>
            <a:ext uri="{FF2B5EF4-FFF2-40B4-BE49-F238E27FC236}">
              <a16:creationId xmlns:a16="http://schemas.microsoft.com/office/drawing/2014/main" id="{D9AD919E-040E-4317-91F1-EB0F000C7B7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49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B411-737C-426E-848D-ACB29C53727C}">
  <dimension ref="A1:O46"/>
  <sheetViews>
    <sheetView showGridLines="0" tabSelected="1" zoomScale="85" zoomScaleNormal="85" workbookViewId="0"/>
  </sheetViews>
  <sheetFormatPr defaultRowHeight="15"/>
  <cols>
    <col min="1" max="1" width="1.7109375" customWidth="1"/>
    <col min="2" max="16384" width="9.140625" style="54"/>
  </cols>
  <sheetData>
    <row r="1" spans="1:15">
      <c r="A1" s="4"/>
    </row>
    <row r="2" spans="1:15">
      <c r="A2" s="4"/>
    </row>
    <row r="3" spans="1:15">
      <c r="A3" s="4"/>
    </row>
    <row r="4" spans="1:15">
      <c r="A4" s="4"/>
    </row>
    <row r="5" spans="1:15">
      <c r="A5" s="4"/>
    </row>
    <row r="6" spans="1:15" ht="9" customHeight="1">
      <c r="A6" s="4"/>
    </row>
    <row r="7" spans="1:15" ht="21">
      <c r="A7" s="4"/>
      <c r="B7" s="13" t="s">
        <v>42</v>
      </c>
    </row>
    <row r="8" spans="1:15" ht="15.75">
      <c r="A8" s="4"/>
      <c r="B8" s="2"/>
    </row>
    <row r="9" spans="1:15" ht="18.75">
      <c r="A9" s="4"/>
      <c r="B9" s="14" t="s">
        <v>0</v>
      </c>
    </row>
    <row r="10" spans="1:15">
      <c r="B10" s="86" t="s">
        <v>53</v>
      </c>
      <c r="C10" s="86"/>
      <c r="D10" s="86"/>
      <c r="E10" s="86"/>
      <c r="F10" s="86"/>
      <c r="G10" s="86"/>
      <c r="H10" s="86"/>
      <c r="I10" s="86"/>
      <c r="J10" s="86"/>
      <c r="K10" s="86"/>
      <c r="L10" s="86"/>
      <c r="M10" s="86"/>
      <c r="N10" s="86"/>
      <c r="O10" s="86"/>
    </row>
    <row r="11" spans="1:15">
      <c r="B11" s="86"/>
      <c r="C11" s="86"/>
      <c r="D11" s="86"/>
      <c r="E11" s="86"/>
      <c r="F11" s="86"/>
      <c r="G11" s="86"/>
      <c r="H11" s="86"/>
      <c r="I11" s="86"/>
      <c r="J11" s="86"/>
      <c r="K11" s="86"/>
      <c r="L11" s="86"/>
      <c r="M11" s="86"/>
      <c r="N11" s="86"/>
      <c r="O11" s="86"/>
    </row>
    <row r="12" spans="1:15">
      <c r="B12" s="86"/>
      <c r="C12" s="86"/>
      <c r="D12" s="86"/>
      <c r="E12" s="86"/>
      <c r="F12" s="86"/>
      <c r="G12" s="86"/>
      <c r="H12" s="86"/>
      <c r="I12" s="86"/>
      <c r="J12" s="86"/>
      <c r="K12" s="86"/>
      <c r="L12" s="86"/>
      <c r="M12" s="86"/>
      <c r="N12" s="86"/>
      <c r="O12" s="86"/>
    </row>
    <row r="13" spans="1:15">
      <c r="B13" s="86"/>
      <c r="C13" s="86"/>
      <c r="D13" s="86"/>
      <c r="E13" s="86"/>
      <c r="F13" s="86"/>
      <c r="G13" s="86"/>
      <c r="H13" s="86"/>
      <c r="I13" s="86"/>
      <c r="J13" s="86"/>
      <c r="K13" s="86"/>
      <c r="L13" s="86"/>
      <c r="M13" s="86"/>
      <c r="N13" s="86"/>
      <c r="O13" s="86"/>
    </row>
    <row r="14" spans="1:15">
      <c r="B14" s="86"/>
      <c r="C14" s="86"/>
      <c r="D14" s="86"/>
      <c r="E14" s="86"/>
      <c r="F14" s="86"/>
      <c r="G14" s="86"/>
      <c r="H14" s="86"/>
      <c r="I14" s="86"/>
      <c r="J14" s="86"/>
      <c r="K14" s="86"/>
      <c r="L14" s="86"/>
      <c r="M14" s="86"/>
      <c r="N14" s="86"/>
      <c r="O14" s="86"/>
    </row>
    <row r="15" spans="1:15">
      <c r="B15" s="86"/>
      <c r="C15" s="86"/>
      <c r="D15" s="86"/>
      <c r="E15" s="86"/>
      <c r="F15" s="86"/>
      <c r="G15" s="86"/>
      <c r="H15" s="86"/>
      <c r="I15" s="86"/>
      <c r="J15" s="86"/>
      <c r="K15" s="86"/>
      <c r="L15" s="86"/>
      <c r="M15" s="86"/>
      <c r="N15" s="86"/>
      <c r="O15" s="86"/>
    </row>
    <row r="16" spans="1:15">
      <c r="B16" s="86"/>
      <c r="C16" s="86"/>
      <c r="D16" s="86"/>
      <c r="E16" s="86"/>
      <c r="F16" s="86"/>
      <c r="G16" s="86"/>
      <c r="H16" s="86"/>
      <c r="I16" s="86"/>
      <c r="J16" s="86"/>
      <c r="K16" s="86"/>
      <c r="L16" s="86"/>
      <c r="M16" s="86"/>
      <c r="N16" s="86"/>
      <c r="O16" s="86"/>
    </row>
    <row r="17" spans="1:5" ht="18.75">
      <c r="B17" s="14" t="s">
        <v>1</v>
      </c>
    </row>
    <row r="19" spans="1:5" ht="15.75">
      <c r="B19" s="12" t="s">
        <v>2</v>
      </c>
      <c r="E19" s="79" t="s">
        <v>43</v>
      </c>
    </row>
    <row r="20" spans="1:5" ht="7.5" customHeight="1">
      <c r="B20" s="12"/>
      <c r="E20" s="11"/>
    </row>
    <row r="21" spans="1:5" ht="15.75">
      <c r="B21" s="12" t="s">
        <v>8</v>
      </c>
      <c r="E21" s="11" t="s">
        <v>7</v>
      </c>
    </row>
    <row r="22" spans="1:5" ht="7.5" customHeight="1">
      <c r="B22" s="12"/>
      <c r="E22" s="11"/>
    </row>
    <row r="23" spans="1:5" ht="15.75">
      <c r="B23" s="12" t="s">
        <v>9</v>
      </c>
      <c r="E23" s="11" t="s">
        <v>10</v>
      </c>
    </row>
    <row r="24" spans="1:5" ht="7.5" customHeight="1">
      <c r="B24" s="12"/>
      <c r="E24" s="11"/>
    </row>
    <row r="25" spans="1:5" ht="15.75">
      <c r="B25" s="12" t="s">
        <v>11</v>
      </c>
      <c r="E25" s="11" t="s">
        <v>51</v>
      </c>
    </row>
    <row r="26" spans="1:5" ht="7.5" customHeight="1">
      <c r="B26" s="12"/>
      <c r="E26" s="11"/>
    </row>
    <row r="27" spans="1:5" ht="15.75">
      <c r="B27" s="12" t="s">
        <v>12</v>
      </c>
      <c r="E27" s="11" t="s">
        <v>13</v>
      </c>
    </row>
    <row r="28" spans="1:5" ht="7.5" customHeight="1">
      <c r="B28" s="12"/>
      <c r="E28" s="11"/>
    </row>
    <row r="29" spans="1:5" ht="15.75">
      <c r="B29" s="12" t="s">
        <v>14</v>
      </c>
      <c r="E29" s="11" t="s">
        <v>52</v>
      </c>
    </row>
    <row r="30" spans="1:5" ht="7.5" customHeight="1">
      <c r="B30" s="12"/>
      <c r="E30" s="11"/>
    </row>
    <row r="31" spans="1:5" ht="15.75">
      <c r="A31" s="4"/>
      <c r="B31" s="12" t="s">
        <v>15</v>
      </c>
      <c r="E31" s="11" t="s">
        <v>16</v>
      </c>
    </row>
    <row r="32" spans="1:5" ht="7.5" customHeight="1">
      <c r="A32" s="4"/>
      <c r="B32" s="12"/>
      <c r="E32" s="11"/>
    </row>
    <row r="33" spans="1:15" ht="15.75">
      <c r="A33" s="4"/>
      <c r="B33" s="12" t="s">
        <v>17</v>
      </c>
      <c r="E33" s="11" t="s">
        <v>18</v>
      </c>
    </row>
    <row r="34" spans="1:15" ht="15.75">
      <c r="A34" s="4"/>
      <c r="B34" s="12"/>
      <c r="E34" s="11"/>
    </row>
    <row r="35" spans="1:15" ht="7.5" customHeight="1">
      <c r="B35" s="12"/>
      <c r="E35" s="11"/>
    </row>
    <row r="36" spans="1:15" ht="15" customHeight="1">
      <c r="B36" s="85" t="s">
        <v>6</v>
      </c>
      <c r="C36" s="85"/>
      <c r="D36" s="85"/>
      <c r="E36" s="85"/>
      <c r="F36" s="85"/>
      <c r="G36" s="85"/>
      <c r="H36" s="85"/>
      <c r="I36" s="85"/>
      <c r="J36" s="85"/>
      <c r="K36" s="85"/>
      <c r="L36" s="85"/>
      <c r="M36" s="85"/>
      <c r="N36" s="85"/>
      <c r="O36" s="85"/>
    </row>
    <row r="37" spans="1:15">
      <c r="B37" s="85"/>
      <c r="C37" s="85"/>
      <c r="D37" s="85"/>
      <c r="E37" s="85"/>
      <c r="F37" s="85"/>
      <c r="G37" s="85"/>
      <c r="H37" s="85"/>
      <c r="I37" s="85"/>
      <c r="J37" s="85"/>
      <c r="K37" s="85"/>
      <c r="L37" s="85"/>
      <c r="M37" s="85"/>
      <c r="N37" s="85"/>
      <c r="O37" s="85"/>
    </row>
    <row r="38" spans="1:15">
      <c r="B38" s="85"/>
      <c r="C38" s="85"/>
      <c r="D38" s="85"/>
      <c r="E38" s="85"/>
      <c r="F38" s="85"/>
      <c r="G38" s="85"/>
      <c r="H38" s="85"/>
      <c r="I38" s="85"/>
      <c r="J38" s="85"/>
      <c r="K38" s="85"/>
      <c r="L38" s="85"/>
      <c r="M38" s="85"/>
      <c r="N38" s="85"/>
      <c r="O38" s="85"/>
    </row>
    <row r="39" spans="1:15">
      <c r="B39" s="85"/>
      <c r="C39" s="85"/>
      <c r="D39" s="85"/>
      <c r="E39" s="85"/>
      <c r="F39" s="85"/>
      <c r="G39" s="85"/>
      <c r="H39" s="85"/>
      <c r="I39" s="85"/>
      <c r="J39" s="85"/>
      <c r="K39" s="85"/>
      <c r="L39" s="85"/>
      <c r="M39" s="85"/>
      <c r="N39" s="85"/>
      <c r="O39" s="85"/>
    </row>
    <row r="40" spans="1:15">
      <c r="B40" s="85"/>
      <c r="C40" s="85"/>
      <c r="D40" s="85"/>
      <c r="E40" s="85"/>
      <c r="F40" s="85"/>
      <c r="G40" s="85"/>
      <c r="H40" s="85"/>
      <c r="I40" s="85"/>
      <c r="J40" s="85"/>
      <c r="K40" s="85"/>
      <c r="L40" s="85"/>
      <c r="M40" s="85"/>
      <c r="N40" s="85"/>
      <c r="O40" s="85"/>
    </row>
    <row r="41" spans="1:15">
      <c r="B41" s="85"/>
      <c r="C41" s="85"/>
      <c r="D41" s="85"/>
      <c r="E41" s="85"/>
      <c r="F41" s="85"/>
      <c r="G41" s="85"/>
      <c r="H41" s="85"/>
      <c r="I41" s="85"/>
      <c r="J41" s="85"/>
      <c r="K41" s="85"/>
      <c r="L41" s="85"/>
      <c r="M41" s="85"/>
      <c r="N41" s="85"/>
      <c r="O41" s="85"/>
    </row>
    <row r="42" spans="1:15">
      <c r="B42" s="85"/>
      <c r="C42" s="85"/>
      <c r="D42" s="85"/>
      <c r="E42" s="85"/>
      <c r="F42" s="85"/>
      <c r="G42" s="85"/>
      <c r="H42" s="85"/>
      <c r="I42" s="85"/>
      <c r="J42" s="85"/>
      <c r="K42" s="85"/>
      <c r="L42" s="85"/>
      <c r="M42" s="85"/>
      <c r="N42" s="85"/>
      <c r="O42" s="85"/>
    </row>
    <row r="43" spans="1:15">
      <c r="B43" s="85"/>
      <c r="C43" s="85"/>
      <c r="D43" s="85"/>
      <c r="E43" s="85"/>
      <c r="F43" s="85"/>
      <c r="G43" s="85"/>
      <c r="H43" s="85"/>
      <c r="I43" s="85"/>
      <c r="J43" s="85"/>
      <c r="K43" s="85"/>
      <c r="L43" s="85"/>
      <c r="M43" s="85"/>
      <c r="N43" s="85"/>
      <c r="O43" s="85"/>
    </row>
    <row r="44" spans="1:15">
      <c r="B44" s="85"/>
      <c r="C44" s="85"/>
      <c r="D44" s="85"/>
      <c r="E44" s="85"/>
      <c r="F44" s="85"/>
      <c r="G44" s="85"/>
      <c r="H44" s="85"/>
      <c r="I44" s="85"/>
      <c r="J44" s="85"/>
      <c r="K44" s="85"/>
      <c r="L44" s="85"/>
      <c r="M44" s="85"/>
      <c r="N44" s="85"/>
      <c r="O44" s="85"/>
    </row>
    <row r="45" spans="1:15">
      <c r="B45" s="85"/>
      <c r="C45" s="85"/>
      <c r="D45" s="85"/>
      <c r="E45" s="85"/>
      <c r="F45" s="85"/>
      <c r="G45" s="85"/>
      <c r="H45" s="85"/>
      <c r="I45" s="85"/>
      <c r="J45" s="85"/>
      <c r="K45" s="85"/>
      <c r="L45" s="85"/>
      <c r="M45" s="85"/>
      <c r="N45" s="85"/>
      <c r="O45" s="85"/>
    </row>
    <row r="46" spans="1:15">
      <c r="B46" s="85"/>
      <c r="C46" s="85"/>
      <c r="D46" s="85"/>
      <c r="E46" s="85"/>
      <c r="F46" s="85"/>
      <c r="G46" s="85"/>
      <c r="H46" s="85"/>
      <c r="I46" s="85"/>
      <c r="J46" s="85"/>
      <c r="K46" s="85"/>
      <c r="L46" s="85"/>
      <c r="M46" s="85"/>
      <c r="N46" s="85"/>
      <c r="O46" s="85"/>
    </row>
  </sheetData>
  <mergeCells count="2">
    <mergeCell ref="B36:O46"/>
    <mergeCell ref="B10:O1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4"/>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28"/>
    <col min="23" max="25" width="9.140625" style="19"/>
    <col min="26" max="26" width="9.140625" style="28"/>
  </cols>
  <sheetData>
    <row r="1" spans="1:26">
      <c r="A1" s="4"/>
    </row>
    <row r="2" spans="1:26">
      <c r="A2" s="4"/>
    </row>
    <row r="3" spans="1:26">
      <c r="A3" s="4"/>
    </row>
    <row r="4" spans="1:26">
      <c r="A4" s="4"/>
    </row>
    <row r="5" spans="1:26">
      <c r="A5" s="4"/>
    </row>
    <row r="6" spans="1:26" s="1" customFormat="1" ht="9" customHeight="1">
      <c r="A6" s="4"/>
      <c r="R6" s="29"/>
      <c r="S6" s="29"/>
      <c r="T6" s="29"/>
      <c r="U6" s="29"/>
      <c r="V6" s="29"/>
      <c r="W6" s="30"/>
      <c r="X6" s="30"/>
      <c r="Y6" s="30"/>
      <c r="Z6" s="29"/>
    </row>
    <row r="7" spans="1:26" ht="21">
      <c r="A7" s="4"/>
      <c r="B7" s="13" t="s">
        <v>42</v>
      </c>
      <c r="C7" s="13"/>
      <c r="D7" s="13"/>
      <c r="E7" s="13"/>
      <c r="F7" s="13"/>
      <c r="G7" s="13"/>
      <c r="H7" s="13"/>
    </row>
    <row r="8" spans="1:26">
      <c r="A8" s="4"/>
      <c r="Q8" s="28"/>
      <c r="V8" s="19"/>
      <c r="Y8" s="28"/>
      <c r="Z8"/>
    </row>
    <row r="9" spans="1:26" ht="31.5" customHeight="1">
      <c r="A9" s="4"/>
      <c r="B9" s="39" t="s">
        <v>27</v>
      </c>
      <c r="C9" s="40" t="s">
        <v>66</v>
      </c>
      <c r="D9" s="40" t="s">
        <v>40</v>
      </c>
      <c r="E9" s="40" t="s">
        <v>19</v>
      </c>
      <c r="F9" s="39" t="s">
        <v>5</v>
      </c>
      <c r="G9" s="39" t="s">
        <v>28</v>
      </c>
      <c r="H9" s="41" t="s">
        <v>26</v>
      </c>
      <c r="Q9" s="28"/>
      <c r="W9" s="28"/>
      <c r="X9" s="28"/>
      <c r="Y9" s="28"/>
    </row>
    <row r="10" spans="1:26" ht="31.5" customHeight="1">
      <c r="B10" s="35" t="s">
        <v>44</v>
      </c>
      <c r="C10" s="36">
        <v>50865.82</v>
      </c>
      <c r="D10" s="80">
        <v>0.35372550000000003</v>
      </c>
      <c r="E10" s="36">
        <f>D10*C10</f>
        <v>17992.53761241</v>
      </c>
      <c r="F10" s="37" t="s">
        <v>45</v>
      </c>
      <c r="G10" s="37" t="s">
        <v>43</v>
      </c>
      <c r="H10" s="38" t="s">
        <v>50</v>
      </c>
      <c r="Q10" s="28"/>
      <c r="W10" s="28"/>
      <c r="X10" s="28"/>
      <c r="Y10" s="28"/>
    </row>
    <row r="11" spans="1:26" ht="15.75">
      <c r="B11" s="15"/>
      <c r="C11" s="16"/>
      <c r="D11" s="16"/>
      <c r="E11" s="16"/>
      <c r="F11" s="17"/>
      <c r="G11" s="17"/>
      <c r="H11" s="18"/>
      <c r="Q11" s="28"/>
      <c r="W11" s="28"/>
      <c r="X11" s="28"/>
      <c r="Y11" s="28"/>
    </row>
    <row r="13" spans="1:26">
      <c r="B13" s="81" t="s">
        <v>71</v>
      </c>
      <c r="C13" s="81"/>
      <c r="D13" s="81"/>
      <c r="E13" s="81"/>
      <c r="F13" s="81"/>
    </row>
    <row r="14" spans="1:26">
      <c r="B14" s="81"/>
      <c r="C14" s="81"/>
      <c r="D14" s="81"/>
      <c r="E14" s="81"/>
      <c r="F14" s="8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73"/>
  <sheetViews>
    <sheetView showGridLines="0" zoomScaleNormal="100" workbookViewId="0">
      <pane xSplit="6" ySplit="8" topLeftCell="I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3.5703125" style="4" customWidth="1"/>
    <col min="20" max="20" width="1.7109375" style="5" customWidth="1"/>
    <col min="21" max="21" width="13.5703125" style="4" customWidth="1"/>
    <col min="22" max="22" width="0.85546875" style="5" customWidth="1"/>
    <col min="23" max="23" width="13.5703125" style="4" customWidth="1"/>
    <col min="24" max="16384" width="10.7109375" style="4"/>
  </cols>
  <sheetData>
    <row r="1" spans="2:23" ht="9.9499999999999993" customHeight="1"/>
    <row r="2" spans="2:23" ht="17.45" customHeight="1">
      <c r="H2" s="84"/>
    </row>
    <row r="6" spans="2:23" ht="17.45" customHeight="1">
      <c r="H6" s="9"/>
      <c r="I6" s="9"/>
      <c r="J6" s="9"/>
      <c r="K6" s="9"/>
      <c r="L6" s="9"/>
      <c r="M6" s="9"/>
      <c r="N6" s="9"/>
      <c r="O6" s="9"/>
      <c r="P6" s="9"/>
      <c r="Q6" s="9"/>
      <c r="R6" s="9"/>
      <c r="S6" s="9"/>
      <c r="U6" s="9"/>
      <c r="W6" s="9"/>
    </row>
    <row r="7" spans="2:23" ht="24.95" customHeight="1">
      <c r="B7" s="23" t="s">
        <v>72</v>
      </c>
      <c r="C7" s="20"/>
      <c r="D7" s="20"/>
      <c r="E7" s="20"/>
      <c r="H7" s="22">
        <f>EDATE(S21,1)</f>
        <v>46023</v>
      </c>
      <c r="I7" s="22">
        <f>EDATE(H7,1)</f>
        <v>46054</v>
      </c>
      <c r="J7" s="22">
        <f>EDATE(I7,1)</f>
        <v>46082</v>
      </c>
      <c r="K7" s="22">
        <f>EDATE(J7,1)</f>
        <v>46113</v>
      </c>
      <c r="L7" s="22">
        <f>EDATE(K7,1)</f>
        <v>46143</v>
      </c>
      <c r="M7" s="22"/>
      <c r="N7" s="22"/>
      <c r="O7" s="22"/>
      <c r="P7" s="22"/>
      <c r="Q7" s="22"/>
      <c r="R7" s="22"/>
      <c r="S7" s="22"/>
      <c r="U7" s="22" t="str">
        <f>"Jan/"&amp;PROPER(TEXT(MAX($G$7:$S$7),"mmm"))&amp;"-"&amp;RIGHT(W7,2)</f>
        <v>Jan/Mai-26</v>
      </c>
      <c r="W7" s="55">
        <v>2026</v>
      </c>
    </row>
    <row r="8" spans="2:23" ht="4.5" customHeight="1">
      <c r="B8" s="3"/>
      <c r="C8" s="6"/>
      <c r="D8" s="6"/>
      <c r="E8" s="6"/>
      <c r="H8" s="8"/>
      <c r="I8" s="8"/>
      <c r="J8" s="8"/>
      <c r="K8" s="8"/>
      <c r="L8" s="8"/>
      <c r="M8" s="8"/>
      <c r="N8" s="8"/>
      <c r="O8" s="8"/>
      <c r="P8" s="8"/>
      <c r="Q8" s="8"/>
      <c r="R8" s="8"/>
      <c r="S8" s="8"/>
      <c r="U8" s="8"/>
      <c r="W8" s="8"/>
    </row>
    <row r="9" spans="2:23" ht="4.5" customHeight="1">
      <c r="B9" s="3"/>
      <c r="C9" s="6"/>
      <c r="D9" s="6"/>
      <c r="E9" s="6"/>
      <c r="H9" s="8"/>
      <c r="I9" s="8"/>
      <c r="J9" s="8"/>
      <c r="K9" s="8"/>
      <c r="L9" s="8"/>
      <c r="M9" s="8"/>
      <c r="N9" s="8"/>
      <c r="O9" s="8"/>
      <c r="P9" s="8"/>
      <c r="Q9" s="8"/>
      <c r="R9" s="8"/>
      <c r="S9" s="8"/>
      <c r="U9" s="8"/>
      <c r="W9" s="8"/>
    </row>
    <row r="10" spans="2:23" ht="17.45" customHeight="1">
      <c r="B10" s="50"/>
      <c r="C10" s="50"/>
      <c r="D10" s="50"/>
      <c r="E10" s="50"/>
      <c r="H10" s="51"/>
      <c r="I10" s="51"/>
      <c r="J10" s="51"/>
      <c r="K10" s="51"/>
      <c r="L10" s="51"/>
      <c r="M10" s="51"/>
      <c r="N10" s="51"/>
      <c r="O10" s="51"/>
      <c r="P10" s="51"/>
      <c r="Q10" s="51"/>
      <c r="R10" s="51"/>
      <c r="S10" s="51"/>
      <c r="U10" s="51"/>
      <c r="W10" s="51"/>
    </row>
    <row r="11" spans="2:23" ht="15.95" customHeight="1">
      <c r="B11" s="46" t="s">
        <v>32</v>
      </c>
      <c r="C11" s="46"/>
      <c r="D11" s="46"/>
      <c r="E11" s="46"/>
      <c r="H11" s="47">
        <f>+H12+H13</f>
        <v>1602575.6600000001</v>
      </c>
      <c r="I11" s="47">
        <f>+I12+I13</f>
        <v>1356651.81</v>
      </c>
      <c r="J11" s="47">
        <f>+J12+J13</f>
        <v>1239023.5200000003</v>
      </c>
      <c r="K11" s="47">
        <f>+K12+K13</f>
        <v>1130371.99</v>
      </c>
      <c r="L11" s="47">
        <f>+L12+L13</f>
        <v>1212997.76</v>
      </c>
      <c r="M11" s="47"/>
      <c r="N11" s="47"/>
      <c r="O11" s="47"/>
      <c r="P11" s="47"/>
      <c r="Q11" s="47"/>
      <c r="R11" s="47"/>
      <c r="S11" s="47"/>
      <c r="U11" s="47">
        <f t="shared" ref="U11:U16" ca="1" si="0">SUM(OFFSET(A11,0,7,,MONTH(MAX($H$7:$S$7))))</f>
        <v>6541620.7400000002</v>
      </c>
      <c r="W11" s="47">
        <f t="shared" ref="W11:W16" si="1">SUM(H11:S11)</f>
        <v>6541620.7400000002</v>
      </c>
    </row>
    <row r="12" spans="2:23" ht="15.95" customHeight="1">
      <c r="B12" s="48" t="s">
        <v>33</v>
      </c>
      <c r="C12" s="48"/>
      <c r="D12" s="48"/>
      <c r="E12" s="48"/>
      <c r="H12" s="49">
        <v>1588418.2300000002</v>
      </c>
      <c r="I12" s="49">
        <v>1342765.45</v>
      </c>
      <c r="J12" s="49">
        <v>1218040.43</v>
      </c>
      <c r="K12" s="49">
        <v>1109442.3</v>
      </c>
      <c r="L12" s="49">
        <v>1189922.78</v>
      </c>
      <c r="M12" s="49"/>
      <c r="N12" s="49"/>
      <c r="O12" s="49"/>
      <c r="P12" s="49"/>
      <c r="Q12" s="49"/>
      <c r="R12" s="49"/>
      <c r="S12" s="49"/>
      <c r="U12" s="49">
        <f t="shared" ca="1" si="0"/>
        <v>6448589.1900000004</v>
      </c>
      <c r="W12" s="49">
        <f t="shared" si="1"/>
        <v>6448589.1900000004</v>
      </c>
    </row>
    <row r="13" spans="2:23" ht="15.95" customHeight="1">
      <c r="B13" s="48" t="s">
        <v>34</v>
      </c>
      <c r="C13" s="48"/>
      <c r="D13" s="48"/>
      <c r="E13" s="48"/>
      <c r="H13" s="49">
        <v>14157.43</v>
      </c>
      <c r="I13" s="49">
        <v>13886.359999999986</v>
      </c>
      <c r="J13" s="49">
        <v>20983.090000000375</v>
      </c>
      <c r="K13" s="49">
        <v>20929.689999999999</v>
      </c>
      <c r="L13" s="49">
        <v>23074.98</v>
      </c>
      <c r="M13" s="49"/>
      <c r="N13" s="49"/>
      <c r="O13" s="49"/>
      <c r="P13" s="49"/>
      <c r="Q13" s="49"/>
      <c r="R13" s="49"/>
      <c r="S13" s="49"/>
      <c r="U13" s="49">
        <f t="shared" ca="1" si="0"/>
        <v>93031.550000000352</v>
      </c>
      <c r="W13" s="49">
        <f t="shared" si="1"/>
        <v>93031.550000000352</v>
      </c>
    </row>
    <row r="14" spans="2:23" ht="15.95" customHeight="1">
      <c r="B14" s="46" t="s">
        <v>35</v>
      </c>
      <c r="C14" s="46"/>
      <c r="D14" s="46"/>
      <c r="E14" s="46"/>
      <c r="H14" s="47">
        <v>-90111.410000000018</v>
      </c>
      <c r="I14" s="47">
        <v>-90749.67</v>
      </c>
      <c r="J14" s="47">
        <v>-145411.63</v>
      </c>
      <c r="K14" s="47">
        <v>-96203.37999999999</v>
      </c>
      <c r="L14" s="47">
        <v>-119472.16000000002</v>
      </c>
      <c r="M14" s="47"/>
      <c r="N14" s="47"/>
      <c r="O14" s="47"/>
      <c r="P14" s="47"/>
      <c r="Q14" s="47"/>
      <c r="R14" s="47"/>
      <c r="S14" s="47"/>
      <c r="U14" s="47">
        <f t="shared" ca="1" si="0"/>
        <v>-541948.25</v>
      </c>
      <c r="W14" s="47">
        <f t="shared" si="1"/>
        <v>-541948.25</v>
      </c>
    </row>
    <row r="15" spans="2:23" ht="15.95" customHeight="1">
      <c r="B15" s="50" t="s">
        <v>36</v>
      </c>
      <c r="C15" s="50"/>
      <c r="D15" s="50"/>
      <c r="E15" s="50"/>
      <c r="H15" s="51">
        <f>+H11+H14</f>
        <v>1512464.2500000002</v>
      </c>
      <c r="I15" s="51">
        <f>+I11+I14</f>
        <v>1265902.1400000001</v>
      </c>
      <c r="J15" s="51">
        <f>+J11+J14</f>
        <v>1093611.8900000001</v>
      </c>
      <c r="K15" s="51">
        <f>+K11+K14</f>
        <v>1034168.61</v>
      </c>
      <c r="L15" s="51">
        <f>+L11+L14</f>
        <v>1093525.6000000001</v>
      </c>
      <c r="M15" s="51"/>
      <c r="N15" s="51"/>
      <c r="O15" s="51"/>
      <c r="P15" s="51"/>
      <c r="Q15" s="51"/>
      <c r="R15" s="51"/>
      <c r="S15" s="51"/>
      <c r="U15" s="51">
        <f t="shared" ca="1" si="0"/>
        <v>5999672.4900000002</v>
      </c>
      <c r="W15" s="51">
        <f t="shared" si="1"/>
        <v>5999672.4900000002</v>
      </c>
    </row>
    <row r="16" spans="2:23" ht="15.95" customHeight="1">
      <c r="B16" s="46" t="s">
        <v>54</v>
      </c>
      <c r="C16" s="46"/>
      <c r="D16" s="46"/>
      <c r="E16" s="46"/>
      <c r="H16" s="47">
        <v>1134422.55</v>
      </c>
      <c r="I16" s="47">
        <v>1139527.6499999999</v>
      </c>
      <c r="J16" s="47">
        <v>1144632.75</v>
      </c>
      <c r="K16" s="47">
        <v>1149737.8499999999</v>
      </c>
      <c r="L16" s="47">
        <v>1154842.95</v>
      </c>
      <c r="M16" s="47"/>
      <c r="N16" s="47"/>
      <c r="O16" s="47"/>
      <c r="P16" s="47"/>
      <c r="Q16" s="47"/>
      <c r="R16" s="47"/>
      <c r="S16" s="47"/>
      <c r="U16" s="47">
        <f t="shared" ca="1" si="0"/>
        <v>5723163.75</v>
      </c>
      <c r="W16" s="47">
        <f t="shared" si="1"/>
        <v>5723163.75</v>
      </c>
    </row>
    <row r="17" spans="2:23" ht="15.95" customHeight="1">
      <c r="B17" s="50" t="s">
        <v>38</v>
      </c>
      <c r="C17" s="52"/>
      <c r="D17" s="52"/>
      <c r="E17" s="52"/>
      <c r="H17" s="82">
        <v>0.15</v>
      </c>
      <c r="I17" s="82">
        <v>0.15</v>
      </c>
      <c r="J17" s="82">
        <v>0.15</v>
      </c>
      <c r="K17" s="82">
        <v>0.15</v>
      </c>
      <c r="L17" s="82">
        <v>0.15</v>
      </c>
      <c r="M17" s="82"/>
      <c r="N17" s="82"/>
      <c r="O17" s="82"/>
      <c r="P17" s="82"/>
      <c r="Q17" s="82"/>
      <c r="R17" s="82"/>
      <c r="S17" s="82"/>
      <c r="U17" s="82">
        <f t="shared" ref="U11:U18" ca="1" si="2">AVERAGE(OFFSET(A17,0,7,,MONTH(MAX($H$7:$S$7))))</f>
        <v>0.15</v>
      </c>
      <c r="V17" s="83"/>
      <c r="W17" s="82">
        <f>AVERAGE(H17:S17)</f>
        <v>0.15</v>
      </c>
    </row>
    <row r="18" spans="2:23" ht="15.95" customHeight="1">
      <c r="B18" s="50" t="s">
        <v>37</v>
      </c>
      <c r="C18" s="52"/>
      <c r="D18" s="52"/>
      <c r="E18" s="52"/>
      <c r="H18" s="82">
        <f>H15/7528783</f>
        <v>0.20089093416558829</v>
      </c>
      <c r="I18" s="82">
        <f>I15/7596851</f>
        <v>0.16663511499699021</v>
      </c>
      <c r="J18" s="82">
        <f>J15/7630885</f>
        <v>0.14331390002601271</v>
      </c>
      <c r="K18" s="82">
        <f>K15/7664919</f>
        <v>0.13492231424754783</v>
      </c>
      <c r="L18" s="82">
        <f>L15/7698953</f>
        <v>0.14203562484405349</v>
      </c>
      <c r="M18" s="82"/>
      <c r="N18" s="82"/>
      <c r="O18" s="82"/>
      <c r="P18" s="82"/>
      <c r="Q18" s="82"/>
      <c r="R18" s="82"/>
      <c r="S18" s="82"/>
      <c r="U18" s="82">
        <f ca="1">AVERAGE(OFFSET(A18,0,7,,MONTH(MAX($H$7:$S$7))))</f>
        <v>0.15755957765603851</v>
      </c>
      <c r="V18" s="83"/>
      <c r="W18" s="82">
        <f>AVERAGE(H18:S18)</f>
        <v>0.15755957765603851</v>
      </c>
    </row>
    <row r="19" spans="2:23" ht="15.95" customHeight="1">
      <c r="B19" s="48" t="s">
        <v>59</v>
      </c>
      <c r="C19" s="46"/>
      <c r="D19" s="46"/>
      <c r="E19" s="46"/>
      <c r="H19" s="49">
        <v>1701.7</v>
      </c>
      <c r="I19" s="49">
        <v>1021.02</v>
      </c>
      <c r="J19" s="49">
        <v>1361.3600000000001</v>
      </c>
      <c r="K19" s="49">
        <v>1701.7</v>
      </c>
      <c r="L19" s="49">
        <v>1701.7</v>
      </c>
      <c r="M19" s="49"/>
      <c r="N19" s="49"/>
      <c r="O19" s="49"/>
      <c r="P19" s="49"/>
      <c r="Q19" s="49"/>
      <c r="R19" s="49"/>
      <c r="S19" s="49"/>
      <c r="U19" s="49">
        <f t="shared" ref="U19" ca="1" si="3">SUM(OFFSET(A19,0,7,,MONTH(MAX($H$7:$S$7))))</f>
        <v>7487.4800000000005</v>
      </c>
      <c r="W19" s="49">
        <f t="shared" ref="W19" si="4">SUM(H19:S19)</f>
        <v>7487.4800000000005</v>
      </c>
    </row>
    <row r="20" spans="2:23" ht="24" customHeight="1">
      <c r="H20" s="9"/>
      <c r="I20" s="9"/>
      <c r="J20" s="9"/>
      <c r="K20" s="9"/>
      <c r="L20" s="9"/>
      <c r="M20" s="9"/>
      <c r="N20" s="9"/>
      <c r="O20" s="9"/>
      <c r="V20" s="4"/>
    </row>
    <row r="21" spans="2:23" ht="24.95" customHeight="1">
      <c r="B21" s="23" t="s">
        <v>65</v>
      </c>
      <c r="C21" s="20"/>
      <c r="D21" s="20"/>
      <c r="E21" s="20"/>
      <c r="H21" s="22">
        <f>EDATE(S35,1)</f>
        <v>45658</v>
      </c>
      <c r="I21" s="22">
        <f t="shared" ref="I21:S21" si="5">EDATE(H21,1)</f>
        <v>45689</v>
      </c>
      <c r="J21" s="22">
        <f t="shared" si="5"/>
        <v>45717</v>
      </c>
      <c r="K21" s="22">
        <f t="shared" si="5"/>
        <v>45748</v>
      </c>
      <c r="L21" s="22">
        <f t="shared" si="5"/>
        <v>45778</v>
      </c>
      <c r="M21" s="22">
        <f t="shared" si="5"/>
        <v>45809</v>
      </c>
      <c r="N21" s="22">
        <f t="shared" si="5"/>
        <v>45839</v>
      </c>
      <c r="O21" s="22">
        <f t="shared" si="5"/>
        <v>45870</v>
      </c>
      <c r="P21" s="22">
        <f t="shared" si="5"/>
        <v>45901</v>
      </c>
      <c r="Q21" s="22">
        <f t="shared" si="5"/>
        <v>45931</v>
      </c>
      <c r="R21" s="22">
        <f t="shared" si="5"/>
        <v>45962</v>
      </c>
      <c r="S21" s="22">
        <f t="shared" si="5"/>
        <v>45992</v>
      </c>
      <c r="U21" s="22" t="str">
        <f>"Jan/"&amp;PROPER(TEXT(MAX($G$7:$S$7),"mmm"))&amp;"-"&amp;RIGHT(W21,2)</f>
        <v>Jan/Mai-25</v>
      </c>
      <c r="W21" s="55">
        <v>2025</v>
      </c>
    </row>
    <row r="22" spans="2:23" ht="4.5" customHeight="1">
      <c r="B22" s="3"/>
      <c r="C22" s="6"/>
      <c r="D22" s="6"/>
      <c r="E22" s="6"/>
      <c r="H22" s="8"/>
      <c r="I22" s="8"/>
      <c r="J22" s="8"/>
      <c r="K22" s="8"/>
      <c r="L22" s="8"/>
      <c r="M22" s="8"/>
      <c r="N22" s="8"/>
      <c r="O22" s="8"/>
      <c r="P22" s="8"/>
      <c r="Q22" s="8"/>
      <c r="R22" s="8"/>
      <c r="S22" s="8"/>
      <c r="U22" s="8"/>
      <c r="W22" s="8"/>
    </row>
    <row r="23" spans="2:23" ht="4.5" customHeight="1">
      <c r="B23" s="3"/>
      <c r="C23" s="6"/>
      <c r="D23" s="6"/>
      <c r="E23" s="6"/>
      <c r="H23" s="8"/>
      <c r="I23" s="8"/>
      <c r="J23" s="8"/>
      <c r="K23" s="8"/>
      <c r="L23" s="8"/>
      <c r="M23" s="8"/>
      <c r="N23" s="8"/>
      <c r="O23" s="8"/>
      <c r="P23" s="8"/>
      <c r="Q23" s="8"/>
      <c r="R23" s="8"/>
      <c r="S23" s="8"/>
      <c r="U23" s="8"/>
      <c r="W23" s="8"/>
    </row>
    <row r="24" spans="2:23" ht="17.45" customHeight="1">
      <c r="B24" s="50"/>
      <c r="C24" s="50"/>
      <c r="D24" s="50"/>
      <c r="E24" s="50"/>
      <c r="H24" s="51"/>
      <c r="I24" s="51"/>
      <c r="J24" s="51"/>
      <c r="K24" s="51"/>
      <c r="L24" s="51"/>
      <c r="M24" s="51"/>
      <c r="N24" s="51"/>
      <c r="O24" s="51"/>
      <c r="P24" s="51"/>
      <c r="Q24" s="51"/>
      <c r="R24" s="51"/>
      <c r="S24" s="51"/>
      <c r="U24" s="51"/>
      <c r="W24" s="51"/>
    </row>
    <row r="25" spans="2:23" ht="15.95" customHeight="1">
      <c r="B25" s="46" t="s">
        <v>32</v>
      </c>
      <c r="C25" s="46"/>
      <c r="D25" s="46"/>
      <c r="E25" s="46"/>
      <c r="H25" s="47">
        <f t="shared" ref="H25:S25" si="6">+H26+H27</f>
        <v>1766528.2199999997</v>
      </c>
      <c r="I25" s="47">
        <f t="shared" si="6"/>
        <v>1456261.86</v>
      </c>
      <c r="J25" s="47">
        <f t="shared" si="6"/>
        <v>1428391.15</v>
      </c>
      <c r="K25" s="47">
        <f t="shared" si="6"/>
        <v>1082557.6000000001</v>
      </c>
      <c r="L25" s="47">
        <f t="shared" si="6"/>
        <v>1293385.1600000001</v>
      </c>
      <c r="M25" s="47">
        <f t="shared" si="6"/>
        <v>1113656.8900000001</v>
      </c>
      <c r="N25" s="47">
        <f t="shared" si="6"/>
        <v>1058020.1399999999</v>
      </c>
      <c r="O25" s="47">
        <f t="shared" si="6"/>
        <v>1010632.9699999999</v>
      </c>
      <c r="P25" s="47">
        <f t="shared" si="6"/>
        <v>1134578.0900000001</v>
      </c>
      <c r="Q25" s="47">
        <f t="shared" si="6"/>
        <v>1174631.5800000003</v>
      </c>
      <c r="R25" s="47">
        <f t="shared" si="6"/>
        <v>1031361.6</v>
      </c>
      <c r="S25" s="47">
        <f t="shared" si="6"/>
        <v>1644152.14</v>
      </c>
      <c r="U25" s="47">
        <f ca="1">SUM(OFFSET(A25,0,7,,MONTH(MAX($H$7:$S$7))))</f>
        <v>7027123.9900000002</v>
      </c>
      <c r="W25" s="47">
        <f t="shared" ref="W25:W30" si="7">SUM(H25:S25)</f>
        <v>15194157.400000002</v>
      </c>
    </row>
    <row r="26" spans="2:23" ht="15.95" customHeight="1">
      <c r="B26" s="48" t="s">
        <v>33</v>
      </c>
      <c r="C26" s="48"/>
      <c r="D26" s="48"/>
      <c r="E26" s="48"/>
      <c r="H26" s="49">
        <v>1754885.3399999999</v>
      </c>
      <c r="I26" s="49">
        <v>1441780.9700000002</v>
      </c>
      <c r="J26" s="49">
        <v>1414712.25</v>
      </c>
      <c r="K26" s="49">
        <v>1070200.77</v>
      </c>
      <c r="L26" s="49">
        <v>1282639.1600000001</v>
      </c>
      <c r="M26" s="49">
        <v>1099177.6200000001</v>
      </c>
      <c r="N26" s="49">
        <v>1030609.99</v>
      </c>
      <c r="O26" s="49">
        <v>994831.3899999999</v>
      </c>
      <c r="P26" s="49">
        <v>1123878.04</v>
      </c>
      <c r="Q26" s="49">
        <v>1163780.9600000002</v>
      </c>
      <c r="R26" s="49">
        <v>1021957.7999999999</v>
      </c>
      <c r="S26" s="49">
        <v>1633187.5899999999</v>
      </c>
      <c r="U26" s="49">
        <f t="shared" ref="U26:U30" ca="1" si="8">SUM(OFFSET(A26,0,7,,MONTH(MAX($H$7:$S$7))))</f>
        <v>6964218.4900000002</v>
      </c>
      <c r="W26" s="49">
        <f t="shared" si="7"/>
        <v>15031641.880000003</v>
      </c>
    </row>
    <row r="27" spans="2:23" ht="15.95" customHeight="1">
      <c r="B27" s="48" t="s">
        <v>34</v>
      </c>
      <c r="C27" s="48"/>
      <c r="D27" s="48"/>
      <c r="E27" s="48"/>
      <c r="H27" s="49">
        <v>11642.88</v>
      </c>
      <c r="I27" s="49">
        <v>14480.89</v>
      </c>
      <c r="J27" s="49">
        <v>13678.9</v>
      </c>
      <c r="K27" s="49">
        <v>12356.83</v>
      </c>
      <c r="L27" s="49">
        <v>10746</v>
      </c>
      <c r="M27" s="49">
        <v>14479.27</v>
      </c>
      <c r="N27" s="49">
        <v>27410.15</v>
      </c>
      <c r="O27" s="49">
        <v>15801.58</v>
      </c>
      <c r="P27" s="49">
        <v>10700.05</v>
      </c>
      <c r="Q27" s="49">
        <v>10850.62</v>
      </c>
      <c r="R27" s="49">
        <v>9403.8000000000029</v>
      </c>
      <c r="S27" s="49">
        <v>10964.55</v>
      </c>
      <c r="U27" s="49">
        <f t="shared" ca="1" si="8"/>
        <v>62905.5</v>
      </c>
      <c r="W27" s="49">
        <f t="shared" si="7"/>
        <v>162515.52000000002</v>
      </c>
    </row>
    <row r="28" spans="2:23" ht="15.95" customHeight="1">
      <c r="B28" s="46" t="s">
        <v>35</v>
      </c>
      <c r="C28" s="46"/>
      <c r="D28" s="46"/>
      <c r="E28" s="46"/>
      <c r="H28" s="47">
        <v>-73724.39</v>
      </c>
      <c r="I28" s="47">
        <v>-105987.73</v>
      </c>
      <c r="J28" s="47">
        <v>-105233.36</v>
      </c>
      <c r="K28" s="47">
        <v>-73185.86</v>
      </c>
      <c r="L28" s="47">
        <v>-98417.3</v>
      </c>
      <c r="M28" s="47">
        <v>-152614.18000000002</v>
      </c>
      <c r="N28" s="47">
        <v>-10979.750000000002</v>
      </c>
      <c r="O28" s="47">
        <v>-91517.75</v>
      </c>
      <c r="P28" s="47">
        <v>-82152.000000000029</v>
      </c>
      <c r="Q28" s="47">
        <v>-86916.53</v>
      </c>
      <c r="R28" s="47">
        <v>-90237.919999999984</v>
      </c>
      <c r="S28" s="47">
        <v>-76314.140000000014</v>
      </c>
      <c r="U28" s="47">
        <f t="shared" ca="1" si="8"/>
        <v>-456548.63999999996</v>
      </c>
      <c r="W28" s="47">
        <f t="shared" si="7"/>
        <v>-1047280.91</v>
      </c>
    </row>
    <row r="29" spans="2:23" ht="15.95" customHeight="1">
      <c r="B29" s="50" t="s">
        <v>36</v>
      </c>
      <c r="C29" s="50"/>
      <c r="D29" s="50"/>
      <c r="E29" s="50"/>
      <c r="H29" s="51">
        <f t="shared" ref="H29:S29" si="9">+H25+H28</f>
        <v>1692803.8299999998</v>
      </c>
      <c r="I29" s="51">
        <f t="shared" si="9"/>
        <v>1350274.1300000001</v>
      </c>
      <c r="J29" s="51">
        <f t="shared" si="9"/>
        <v>1323157.7899999998</v>
      </c>
      <c r="K29" s="51">
        <f t="shared" si="9"/>
        <v>1009371.7400000001</v>
      </c>
      <c r="L29" s="51">
        <f t="shared" si="9"/>
        <v>1194967.8600000001</v>
      </c>
      <c r="M29" s="51">
        <f t="shared" si="9"/>
        <v>961042.71000000008</v>
      </c>
      <c r="N29" s="51">
        <f t="shared" si="9"/>
        <v>1047040.3899999999</v>
      </c>
      <c r="O29" s="51">
        <f t="shared" si="9"/>
        <v>919115.21999999986</v>
      </c>
      <c r="P29" s="51">
        <f t="shared" si="9"/>
        <v>1052426.0900000001</v>
      </c>
      <c r="Q29" s="51">
        <f t="shared" si="9"/>
        <v>1087715.0500000003</v>
      </c>
      <c r="R29" s="51">
        <f t="shared" si="9"/>
        <v>941123.67999999993</v>
      </c>
      <c r="S29" s="51">
        <f t="shared" si="9"/>
        <v>1567838</v>
      </c>
      <c r="U29" s="51">
        <f t="shared" ca="1" si="8"/>
        <v>6570575.3500000006</v>
      </c>
      <c r="W29" s="51">
        <f t="shared" si="7"/>
        <v>14146876.490000002</v>
      </c>
    </row>
    <row r="30" spans="2:23" ht="15.95" customHeight="1">
      <c r="B30" s="46" t="s">
        <v>54</v>
      </c>
      <c r="C30" s="46"/>
      <c r="D30" s="46"/>
      <c r="E30" s="46"/>
      <c r="H30" s="47">
        <v>1015000</v>
      </c>
      <c r="I30" s="47">
        <v>1015000</v>
      </c>
      <c r="J30" s="47">
        <v>1015000</v>
      </c>
      <c r="K30" s="47">
        <v>1015000</v>
      </c>
      <c r="L30" s="47">
        <v>1015000</v>
      </c>
      <c r="M30" s="47">
        <v>2146000</v>
      </c>
      <c r="N30" s="47">
        <v>1036000.0000000001</v>
      </c>
      <c r="O30" s="47">
        <v>1036000.0000000001</v>
      </c>
      <c r="P30" s="47">
        <v>1037352.9600000001</v>
      </c>
      <c r="Q30" s="47">
        <v>1116554.7</v>
      </c>
      <c r="R30" s="47">
        <v>1121659.8</v>
      </c>
      <c r="S30" s="47">
        <v>1129317.45</v>
      </c>
      <c r="U30" s="47">
        <f t="shared" ca="1" si="8"/>
        <v>5075000</v>
      </c>
      <c r="W30" s="47">
        <f t="shared" si="7"/>
        <v>13697884.91</v>
      </c>
    </row>
    <row r="31" spans="2:23" ht="15.95" customHeight="1">
      <c r="B31" s="50" t="s">
        <v>38</v>
      </c>
      <c r="C31" s="52"/>
      <c r="D31" s="52"/>
      <c r="E31" s="52"/>
      <c r="H31" s="82">
        <v>0.14000000000000001</v>
      </c>
      <c r="I31" s="82">
        <v>0.14000000000000001</v>
      </c>
      <c r="J31" s="82">
        <v>0.14000000000000001</v>
      </c>
      <c r="K31" s="82">
        <v>0.14000000000000001</v>
      </c>
      <c r="L31" s="82">
        <v>0.14000000000000001</v>
      </c>
      <c r="M31" s="82">
        <v>0.28999999999999998</v>
      </c>
      <c r="N31" s="82">
        <v>0.14000000000000001</v>
      </c>
      <c r="O31" s="82">
        <v>0.14000000000000001</v>
      </c>
      <c r="P31" s="82">
        <v>0.14000000000000001</v>
      </c>
      <c r="Q31" s="82">
        <v>0.15</v>
      </c>
      <c r="R31" s="82">
        <v>0.15</v>
      </c>
      <c r="S31" s="82">
        <v>0.15</v>
      </c>
      <c r="T31" s="83"/>
      <c r="U31" s="82">
        <f ca="1">AVERAGE(OFFSET(A31,0,7,,MONTH(MAX($H$7:$S$7))))</f>
        <v>0.14000000000000001</v>
      </c>
      <c r="V31" s="83"/>
      <c r="W31" s="82">
        <f>AVERAGE(H31:S31)</f>
        <v>0.155</v>
      </c>
    </row>
    <row r="32" spans="2:23" ht="15.95" customHeight="1">
      <c r="B32" s="50" t="s">
        <v>37</v>
      </c>
      <c r="C32" s="52"/>
      <c r="D32" s="52"/>
      <c r="E32" s="52"/>
      <c r="H32" s="82">
        <f>H29/7250000</f>
        <v>0.23349018344827585</v>
      </c>
      <c r="I32" s="82">
        <f>I29/7250000</f>
        <v>0.18624470758620693</v>
      </c>
      <c r="J32" s="82">
        <f>J29/7250000</f>
        <v>0.18250452275862067</v>
      </c>
      <c r="K32" s="82">
        <f>K29/7250000</f>
        <v>0.1392236882758621</v>
      </c>
      <c r="L32" s="82">
        <f>L29/7250000</f>
        <v>0.16482315310344828</v>
      </c>
      <c r="M32" s="82">
        <f>M29/7400000</f>
        <v>0.1298706364864865</v>
      </c>
      <c r="N32" s="82">
        <f>N29/7400000</f>
        <v>0.14149194459459458</v>
      </c>
      <c r="O32" s="82">
        <f>O29/7400000</f>
        <v>0.12420475945945944</v>
      </c>
      <c r="P32" s="82">
        <f>P29/7409664</f>
        <v>0.14203425283521628</v>
      </c>
      <c r="Q32" s="82">
        <f>Q29/7443698</f>
        <v>0.14612562868617188</v>
      </c>
      <c r="R32" s="82">
        <f>R29/7443698</f>
        <v>0.12643227600045032</v>
      </c>
      <c r="S32" s="82">
        <f>S29/7528783</f>
        <v>0.20824587453244436</v>
      </c>
      <c r="T32" s="83"/>
      <c r="U32" s="82">
        <f ca="1">AVERAGE(OFFSET(A32,0,7,,MONTH(MAX($H$7:$S$7))))</f>
        <v>0.18125725103448279</v>
      </c>
      <c r="V32" s="83"/>
      <c r="W32" s="82">
        <f>AVERAGE(H32:S32)</f>
        <v>0.16039096898060312</v>
      </c>
    </row>
    <row r="33" spans="2:23" ht="15.95" customHeight="1">
      <c r="B33" s="48" t="s">
        <v>59</v>
      </c>
      <c r="C33" s="46"/>
      <c r="D33" s="46"/>
      <c r="E33" s="46"/>
      <c r="H33" s="49">
        <v>0</v>
      </c>
      <c r="I33" s="49">
        <v>0</v>
      </c>
      <c r="J33" s="49">
        <v>0</v>
      </c>
      <c r="K33" s="49">
        <v>0</v>
      </c>
      <c r="L33" s="49">
        <v>0</v>
      </c>
      <c r="M33" s="49">
        <v>0</v>
      </c>
      <c r="N33" s="49">
        <v>0</v>
      </c>
      <c r="O33" s="49">
        <v>676.48</v>
      </c>
      <c r="P33" s="49">
        <v>1701.7</v>
      </c>
      <c r="Q33" s="49">
        <v>2042.04</v>
      </c>
      <c r="R33" s="49">
        <v>2552.5500000000002</v>
      </c>
      <c r="S33" s="49">
        <v>1701.7</v>
      </c>
      <c r="U33" s="49">
        <f ca="1">SUM(OFFSET(A33,0,7,,MONTH(MAX($H$7:$S$7))))</f>
        <v>0</v>
      </c>
      <c r="W33" s="49">
        <f t="shared" ref="W33" si="10">SUM(H33:S33)</f>
        <v>8674.4700000000012</v>
      </c>
    </row>
    <row r="34" spans="2:23" ht="24" customHeight="1">
      <c r="H34" s="9"/>
      <c r="I34" s="9"/>
      <c r="J34" s="9"/>
      <c r="K34" s="9"/>
      <c r="L34" s="9"/>
      <c r="M34" s="9"/>
      <c r="N34" s="9"/>
      <c r="O34" s="9"/>
      <c r="V34" s="4"/>
    </row>
    <row r="35" spans="2:23" ht="24.95" customHeight="1">
      <c r="B35" s="23" t="s">
        <v>64</v>
      </c>
      <c r="C35" s="20"/>
      <c r="D35" s="20"/>
      <c r="E35" s="20"/>
      <c r="H35" s="22">
        <f>EDATE(S49,1)</f>
        <v>45292</v>
      </c>
      <c r="I35" s="22">
        <v>45323</v>
      </c>
      <c r="J35" s="22">
        <v>45352</v>
      </c>
      <c r="K35" s="22">
        <v>45383</v>
      </c>
      <c r="L35" s="22">
        <v>45413</v>
      </c>
      <c r="M35" s="22">
        <v>45444</v>
      </c>
      <c r="N35" s="22">
        <v>45474</v>
      </c>
      <c r="O35" s="22">
        <v>45505</v>
      </c>
      <c r="P35" s="22">
        <v>45536</v>
      </c>
      <c r="Q35" s="22">
        <v>45566</v>
      </c>
      <c r="R35" s="22">
        <v>45597</v>
      </c>
      <c r="S35" s="22">
        <v>45627</v>
      </c>
      <c r="U35" s="22" t="str">
        <f>"Jan/"&amp;PROPER(TEXT(MAX($G$7:$S$7),"mmm"))&amp;"-"&amp;RIGHT(W35,2)</f>
        <v>Jan/Mai-24</v>
      </c>
      <c r="W35" s="55">
        <v>2024</v>
      </c>
    </row>
    <row r="36" spans="2:23" ht="4.5" customHeight="1">
      <c r="B36" s="3"/>
      <c r="C36" s="6"/>
      <c r="D36" s="6"/>
      <c r="E36" s="6"/>
      <c r="H36" s="8"/>
      <c r="I36" s="8"/>
      <c r="J36" s="8"/>
      <c r="K36" s="8"/>
      <c r="L36" s="8"/>
      <c r="M36" s="8"/>
      <c r="N36" s="8"/>
      <c r="O36" s="8"/>
      <c r="P36" s="8"/>
      <c r="Q36" s="8"/>
      <c r="R36" s="8"/>
      <c r="S36" s="8"/>
      <c r="U36" s="8"/>
      <c r="W36" s="8"/>
    </row>
    <row r="37" spans="2:23" ht="4.5" customHeight="1">
      <c r="B37" s="3"/>
      <c r="C37" s="6"/>
      <c r="D37" s="6"/>
      <c r="E37" s="6"/>
      <c r="H37" s="8"/>
      <c r="I37" s="8"/>
      <c r="J37" s="8"/>
      <c r="K37" s="8"/>
      <c r="L37" s="8"/>
      <c r="M37" s="8"/>
      <c r="N37" s="8"/>
      <c r="O37" s="8"/>
      <c r="P37" s="8"/>
      <c r="Q37" s="8"/>
      <c r="R37" s="8"/>
      <c r="S37" s="8"/>
      <c r="U37" s="8"/>
      <c r="W37" s="8"/>
    </row>
    <row r="38" spans="2:23" ht="17.45" customHeight="1">
      <c r="B38" s="50"/>
      <c r="C38" s="50"/>
      <c r="D38" s="50"/>
      <c r="E38" s="50"/>
      <c r="H38" s="51"/>
      <c r="I38" s="51"/>
      <c r="J38" s="51"/>
      <c r="K38" s="51"/>
      <c r="L38" s="51"/>
      <c r="M38" s="51"/>
      <c r="N38" s="51"/>
      <c r="O38" s="51"/>
      <c r="P38" s="51"/>
      <c r="Q38" s="51"/>
      <c r="R38" s="51"/>
      <c r="S38" s="51"/>
      <c r="U38" s="51"/>
      <c r="W38" s="51"/>
    </row>
    <row r="39" spans="2:23" ht="15.95" customHeight="1">
      <c r="B39" s="46" t="s">
        <v>32</v>
      </c>
      <c r="C39" s="46"/>
      <c r="D39" s="46"/>
      <c r="E39" s="46"/>
      <c r="H39" s="47">
        <f t="shared" ref="H39" si="11">+H40+H41</f>
        <v>1422243.71</v>
      </c>
      <c r="I39" s="47">
        <f t="shared" ref="I39:S39" si="12">+I40+I41</f>
        <v>1184352.53</v>
      </c>
      <c r="J39" s="47">
        <f t="shared" si="12"/>
        <v>937790.36</v>
      </c>
      <c r="K39" s="47">
        <f t="shared" si="12"/>
        <v>915241.25</v>
      </c>
      <c r="L39" s="47">
        <f t="shared" si="12"/>
        <v>881600.9</v>
      </c>
      <c r="M39" s="47">
        <f t="shared" si="12"/>
        <v>805357.51</v>
      </c>
      <c r="N39" s="47">
        <f t="shared" si="12"/>
        <v>1095927.0900000001</v>
      </c>
      <c r="O39" s="47">
        <f t="shared" si="12"/>
        <v>1244998.77</v>
      </c>
      <c r="P39" s="47">
        <f t="shared" si="12"/>
        <v>821302.33</v>
      </c>
      <c r="Q39" s="47">
        <f t="shared" si="12"/>
        <v>765592.27</v>
      </c>
      <c r="R39" s="47">
        <f t="shared" si="12"/>
        <v>1244146.3</v>
      </c>
      <c r="S39" s="47">
        <f t="shared" si="12"/>
        <v>1175363.1100000001</v>
      </c>
      <c r="U39" s="47">
        <f ca="1">SUM(OFFSET(A39,0,7,,MONTH(MAX($H$7:$S$7))))</f>
        <v>5341228.75</v>
      </c>
      <c r="W39" s="47">
        <f t="shared" ref="W39:W44" si="13">SUM(H39:S39)</f>
        <v>12493916.129999999</v>
      </c>
    </row>
    <row r="40" spans="2:23" ht="15.95" customHeight="1">
      <c r="B40" s="48" t="s">
        <v>33</v>
      </c>
      <c r="C40" s="48"/>
      <c r="D40" s="48"/>
      <c r="E40" s="48"/>
      <c r="H40" s="49">
        <v>1409687.72</v>
      </c>
      <c r="I40" s="49">
        <v>1172588.04</v>
      </c>
      <c r="J40" s="49">
        <v>926180.35</v>
      </c>
      <c r="K40" s="49">
        <v>903593.35</v>
      </c>
      <c r="L40" s="49">
        <v>871889.57000000007</v>
      </c>
      <c r="M40" s="49">
        <v>786912.79</v>
      </c>
      <c r="N40" s="49">
        <v>1077547.8600000001</v>
      </c>
      <c r="O40" s="49">
        <v>1231100.1100000001</v>
      </c>
      <c r="P40" s="49">
        <v>812116.54999999993</v>
      </c>
      <c r="Q40" s="49">
        <v>753176.41</v>
      </c>
      <c r="R40" s="49">
        <v>1234975.01</v>
      </c>
      <c r="S40" s="49">
        <v>1166714.3700000001</v>
      </c>
      <c r="U40" s="49">
        <f t="shared" ref="U40:U44" ca="1" si="14">SUM(OFFSET(A40,0,7,,MONTH(MAX($H$7:$S$7))))</f>
        <v>5283939.03</v>
      </c>
      <c r="W40" s="49">
        <f t="shared" si="13"/>
        <v>12346482.130000003</v>
      </c>
    </row>
    <row r="41" spans="2:23" ht="15.95" customHeight="1">
      <c r="B41" s="48" t="s">
        <v>34</v>
      </c>
      <c r="C41" s="48"/>
      <c r="D41" s="48"/>
      <c r="E41" s="48"/>
      <c r="H41" s="49">
        <v>12555.99</v>
      </c>
      <c r="I41" s="49">
        <v>11764.49</v>
      </c>
      <c r="J41" s="49">
        <v>11610.01</v>
      </c>
      <c r="K41" s="49">
        <v>11647.9</v>
      </c>
      <c r="L41" s="49">
        <v>9711.33</v>
      </c>
      <c r="M41" s="49">
        <v>18444.72</v>
      </c>
      <c r="N41" s="49">
        <v>18379.229999999981</v>
      </c>
      <c r="O41" s="49">
        <v>13898.66</v>
      </c>
      <c r="P41" s="49">
        <v>9185.7800000000007</v>
      </c>
      <c r="Q41" s="49">
        <v>12415.859999999986</v>
      </c>
      <c r="R41" s="49">
        <v>9171.2900000000009</v>
      </c>
      <c r="S41" s="49">
        <v>8648.74</v>
      </c>
      <c r="U41" s="49">
        <f t="shared" ca="1" si="14"/>
        <v>57289.72</v>
      </c>
      <c r="W41" s="49">
        <f t="shared" si="13"/>
        <v>147433.99999999997</v>
      </c>
    </row>
    <row r="42" spans="2:23" ht="15.95" customHeight="1">
      <c r="B42" s="46" t="s">
        <v>35</v>
      </c>
      <c r="C42" s="46"/>
      <c r="D42" s="46"/>
      <c r="E42" s="46"/>
      <c r="H42" s="47">
        <v>-66044.77</v>
      </c>
      <c r="I42" s="47">
        <v>-102768.90999999999</v>
      </c>
      <c r="J42" s="47">
        <v>-98671.64</v>
      </c>
      <c r="K42" s="47">
        <v>-77948.740000000005</v>
      </c>
      <c r="L42" s="47">
        <v>-101828.28</v>
      </c>
      <c r="M42" s="47">
        <v>-77294.359999999986</v>
      </c>
      <c r="N42" s="47">
        <v>-69024.37</v>
      </c>
      <c r="O42" s="47">
        <v>-79042.149999999994</v>
      </c>
      <c r="P42" s="47">
        <v>-93599.9</v>
      </c>
      <c r="Q42" s="47">
        <v>-83588.219999999987</v>
      </c>
      <c r="R42" s="47">
        <v>-85231.07</v>
      </c>
      <c r="S42" s="47">
        <v>-84545.600000000006</v>
      </c>
      <c r="U42" s="47">
        <f t="shared" ca="1" si="14"/>
        <v>-447262.33999999997</v>
      </c>
      <c r="W42" s="47">
        <f t="shared" si="13"/>
        <v>-1019588.0099999999</v>
      </c>
    </row>
    <row r="43" spans="2:23" ht="15.95" customHeight="1">
      <c r="B43" s="50" t="s">
        <v>36</v>
      </c>
      <c r="C43" s="50"/>
      <c r="D43" s="50"/>
      <c r="E43" s="50"/>
      <c r="H43" s="51">
        <f>+H39+H42</f>
        <v>1356198.94</v>
      </c>
      <c r="I43" s="51">
        <f t="shared" ref="I43:S43" si="15">+I39+I42</f>
        <v>1081583.6200000001</v>
      </c>
      <c r="J43" s="51">
        <f t="shared" si="15"/>
        <v>839118.72</v>
      </c>
      <c r="K43" s="51">
        <f t="shared" si="15"/>
        <v>837292.51</v>
      </c>
      <c r="L43" s="51">
        <f t="shared" si="15"/>
        <v>779772.62</v>
      </c>
      <c r="M43" s="51">
        <f t="shared" si="15"/>
        <v>728063.15</v>
      </c>
      <c r="N43" s="51">
        <f t="shared" si="15"/>
        <v>1026902.7200000001</v>
      </c>
      <c r="O43" s="51">
        <f t="shared" si="15"/>
        <v>1165956.6200000001</v>
      </c>
      <c r="P43" s="51">
        <f t="shared" si="15"/>
        <v>727702.42999999993</v>
      </c>
      <c r="Q43" s="51">
        <f t="shared" si="15"/>
        <v>682004.05</v>
      </c>
      <c r="R43" s="51">
        <f t="shared" si="15"/>
        <v>1158915.23</v>
      </c>
      <c r="S43" s="51">
        <f t="shared" si="15"/>
        <v>1090817.51</v>
      </c>
      <c r="U43" s="51">
        <f t="shared" ca="1" si="14"/>
        <v>4893966.41</v>
      </c>
      <c r="W43" s="51">
        <f t="shared" si="13"/>
        <v>11474328.120000001</v>
      </c>
    </row>
    <row r="44" spans="2:23" ht="15.95" customHeight="1">
      <c r="B44" s="46" t="s">
        <v>54</v>
      </c>
      <c r="C44" s="46"/>
      <c r="D44" s="46"/>
      <c r="E44" s="46"/>
      <c r="H44" s="47">
        <v>913248</v>
      </c>
      <c r="I44" s="47">
        <v>913248</v>
      </c>
      <c r="J44" s="47">
        <v>913248</v>
      </c>
      <c r="K44" s="47">
        <v>913248</v>
      </c>
      <c r="L44" s="47">
        <v>913248</v>
      </c>
      <c r="M44" s="47">
        <v>913248</v>
      </c>
      <c r="N44" s="47">
        <v>936000</v>
      </c>
      <c r="O44" s="47">
        <v>936000</v>
      </c>
      <c r="P44" s="47">
        <v>936000</v>
      </c>
      <c r="Q44" s="47">
        <v>936000</v>
      </c>
      <c r="R44" s="47">
        <v>942500</v>
      </c>
      <c r="S44" s="47">
        <v>942500</v>
      </c>
      <c r="U44" s="47">
        <f t="shared" ca="1" si="14"/>
        <v>4566240</v>
      </c>
      <c r="W44" s="47">
        <f t="shared" si="13"/>
        <v>11108488</v>
      </c>
    </row>
    <row r="45" spans="2:23" ht="15.95" customHeight="1">
      <c r="B45" s="50" t="s">
        <v>38</v>
      </c>
      <c r="C45" s="52"/>
      <c r="D45" s="52"/>
      <c r="E45" s="52"/>
      <c r="H45" s="82">
        <v>0.14000000000000001</v>
      </c>
      <c r="I45" s="82">
        <v>0.14000000000000001</v>
      </c>
      <c r="J45" s="82">
        <v>0.14000000000000001</v>
      </c>
      <c r="K45" s="82">
        <v>0.14000000000000001</v>
      </c>
      <c r="L45" s="82">
        <v>0.14000000000000001</v>
      </c>
      <c r="M45" s="82">
        <v>0.14000000000000001</v>
      </c>
      <c r="N45" s="82">
        <v>0.13</v>
      </c>
      <c r="O45" s="82">
        <v>0.13</v>
      </c>
      <c r="P45" s="82">
        <v>0.13</v>
      </c>
      <c r="Q45" s="82">
        <v>0.13</v>
      </c>
      <c r="R45" s="82">
        <v>0.13</v>
      </c>
      <c r="S45" s="82">
        <v>0.13</v>
      </c>
      <c r="T45" s="83"/>
      <c r="U45" s="82">
        <f ca="1">AVERAGE(OFFSET(A45,0,7,,MONTH(MAX($H$7:$S$7))))</f>
        <v>0.14000000000000001</v>
      </c>
      <c r="V45" s="83"/>
      <c r="W45" s="82">
        <f>AVERAGE(H45:S45)</f>
        <v>0.13499999999999998</v>
      </c>
    </row>
    <row r="46" spans="2:23" ht="15.95" customHeight="1">
      <c r="B46" s="50" t="s">
        <v>37</v>
      </c>
      <c r="C46" s="52"/>
      <c r="D46" s="52"/>
      <c r="E46" s="52"/>
      <c r="H46" s="82">
        <f t="shared" ref="H46:L46" si="16">H43/6523200</f>
        <v>0.20790393365219523</v>
      </c>
      <c r="I46" s="82">
        <f t="shared" si="16"/>
        <v>0.16580568126073095</v>
      </c>
      <c r="J46" s="82">
        <f t="shared" si="16"/>
        <v>0.12863605592347313</v>
      </c>
      <c r="K46" s="82">
        <f t="shared" si="16"/>
        <v>0.12835609976698553</v>
      </c>
      <c r="L46" s="82">
        <f t="shared" si="16"/>
        <v>0.1195383584743684</v>
      </c>
      <c r="M46" s="82">
        <f>M43/6523200</f>
        <v>0.11161134872455238</v>
      </c>
      <c r="N46" s="82">
        <f>N43/7200000</f>
        <v>0.14262537777777778</v>
      </c>
      <c r="O46" s="82">
        <f t="shared" ref="O46:Q46" si="17">O43/7200000</f>
        <v>0.16193841944444445</v>
      </c>
      <c r="P46" s="82">
        <f t="shared" si="17"/>
        <v>0.10106978194444444</v>
      </c>
      <c r="Q46" s="82">
        <f t="shared" si="17"/>
        <v>9.4722784722222231E-2</v>
      </c>
      <c r="R46" s="82">
        <f>R43/7250000</f>
        <v>0.15985037655172413</v>
      </c>
      <c r="S46" s="82">
        <f t="shared" ref="S46" si="18">S43/7250000</f>
        <v>0.15045758758620689</v>
      </c>
      <c r="T46" s="83"/>
      <c r="U46" s="82">
        <f ca="1">AVERAGE(OFFSET(A46,0,7,,MONTH(MAX($H$7:$S$7))))</f>
        <v>0.15004802581555066</v>
      </c>
      <c r="V46" s="83"/>
      <c r="W46" s="82">
        <f>AVERAGE(H46:S46)</f>
        <v>0.13937631715242713</v>
      </c>
    </row>
    <row r="47" spans="2:23" ht="15.95" customHeight="1">
      <c r="B47" s="48" t="s">
        <v>59</v>
      </c>
      <c r="C47" s="46"/>
      <c r="D47" s="46"/>
      <c r="E47" s="46"/>
      <c r="H47" s="49">
        <v>0</v>
      </c>
      <c r="I47" s="49">
        <v>0</v>
      </c>
      <c r="J47" s="49">
        <v>0</v>
      </c>
      <c r="K47" s="49">
        <v>0</v>
      </c>
      <c r="L47" s="49">
        <v>0</v>
      </c>
      <c r="M47" s="49">
        <v>39301.22</v>
      </c>
      <c r="N47" s="49">
        <v>0</v>
      </c>
      <c r="O47" s="49">
        <v>0</v>
      </c>
      <c r="P47" s="49">
        <v>0</v>
      </c>
      <c r="Q47" s="49">
        <v>6500</v>
      </c>
      <c r="R47" s="49">
        <v>0</v>
      </c>
      <c r="S47" s="49">
        <v>0</v>
      </c>
      <c r="U47" s="49">
        <f ca="1">SUM(OFFSET(A47,0,7,,MONTH(MAX($H$7:$S$7))))</f>
        <v>0</v>
      </c>
      <c r="W47" s="49">
        <f t="shared" ref="W47" si="19">SUM(H47:S47)</f>
        <v>45801.22</v>
      </c>
    </row>
    <row r="48" spans="2:23" ht="24" customHeight="1">
      <c r="H48" s="9"/>
      <c r="I48" s="9"/>
      <c r="J48" s="9"/>
      <c r="K48" s="9"/>
      <c r="L48" s="9"/>
      <c r="M48" s="9"/>
      <c r="N48" s="9"/>
      <c r="O48" s="9"/>
      <c r="V48" s="4"/>
    </row>
    <row r="49" spans="2:23" ht="17.45" customHeight="1">
      <c r="B49" s="23" t="s">
        <v>57</v>
      </c>
      <c r="C49" s="20"/>
      <c r="D49" s="20"/>
      <c r="E49" s="20"/>
      <c r="H49" s="22">
        <f>EDATE(S62,1)</f>
        <v>44927</v>
      </c>
      <c r="I49" s="22">
        <f t="shared" ref="I49" si="20">EDATE(H49,1)</f>
        <v>44958</v>
      </c>
      <c r="J49" s="22">
        <f t="shared" ref="J49" si="21">EDATE(I49,1)</f>
        <v>44986</v>
      </c>
      <c r="K49" s="22">
        <f t="shared" ref="K49" si="22">EDATE(J49,1)</f>
        <v>45017</v>
      </c>
      <c r="L49" s="22">
        <f t="shared" ref="L49" si="23">EDATE(K49,1)</f>
        <v>45047</v>
      </c>
      <c r="M49" s="22">
        <f t="shared" ref="M49" si="24">EDATE(L49,1)</f>
        <v>45078</v>
      </c>
      <c r="N49" s="22">
        <f t="shared" ref="N49" si="25">EDATE(M49,1)</f>
        <v>45108</v>
      </c>
      <c r="O49" s="22">
        <f t="shared" ref="O49" si="26">EDATE(N49,1)</f>
        <v>45139</v>
      </c>
      <c r="P49" s="22">
        <f t="shared" ref="P49" si="27">EDATE(O49,1)</f>
        <v>45170</v>
      </c>
      <c r="Q49" s="22">
        <f t="shared" ref="Q49" si="28">EDATE(P49,1)</f>
        <v>45200</v>
      </c>
      <c r="R49" s="22">
        <f t="shared" ref="R49" si="29">EDATE(Q49,1)</f>
        <v>45231</v>
      </c>
      <c r="S49" s="22">
        <f t="shared" ref="S49" si="30">EDATE(R49,1)</f>
        <v>45261</v>
      </c>
      <c r="T49" s="21"/>
      <c r="U49" s="22" t="str">
        <f>"Jan/"&amp;PROPER(TEXT(MAX($G$7:$S$7),"mmm"))&amp;"-"&amp;RIGHT(W49,2)</f>
        <v>Jan/Mai-23</v>
      </c>
      <c r="W49" s="55">
        <v>2023</v>
      </c>
    </row>
    <row r="50" spans="2:23" ht="4.5" customHeight="1">
      <c r="B50" s="3"/>
      <c r="C50" s="6"/>
      <c r="D50" s="6"/>
      <c r="E50" s="6"/>
      <c r="H50" s="8"/>
      <c r="I50" s="8"/>
      <c r="J50" s="8"/>
      <c r="K50" s="8"/>
      <c r="L50" s="8"/>
      <c r="M50" s="8"/>
      <c r="N50" s="8"/>
      <c r="O50" s="8"/>
      <c r="P50" s="8"/>
      <c r="Q50" s="8"/>
      <c r="R50" s="8"/>
      <c r="S50" s="8"/>
      <c r="U50" s="8"/>
      <c r="W50" s="8"/>
    </row>
    <row r="51" spans="2:23" ht="4.5" customHeight="1">
      <c r="B51" s="3"/>
      <c r="C51" s="6"/>
      <c r="D51" s="6"/>
      <c r="E51" s="6"/>
      <c r="H51" s="8"/>
      <c r="I51" s="8"/>
      <c r="J51" s="8"/>
      <c r="K51" s="8"/>
      <c r="L51" s="8"/>
      <c r="M51" s="8"/>
      <c r="N51" s="8"/>
      <c r="O51" s="8"/>
      <c r="P51" s="8"/>
      <c r="Q51" s="8"/>
      <c r="R51" s="8"/>
      <c r="S51" s="8"/>
      <c r="U51" s="8"/>
      <c r="W51" s="8"/>
    </row>
    <row r="52" spans="2:23" ht="17.45" customHeight="1">
      <c r="B52" s="50"/>
      <c r="C52" s="50"/>
      <c r="D52" s="50"/>
      <c r="E52" s="50"/>
      <c r="H52" s="51"/>
      <c r="I52" s="51"/>
      <c r="J52" s="51"/>
      <c r="K52" s="51"/>
      <c r="L52" s="51"/>
      <c r="M52" s="51"/>
      <c r="N52" s="51"/>
      <c r="O52" s="51"/>
      <c r="P52" s="51"/>
      <c r="Q52" s="51"/>
      <c r="R52" s="51"/>
      <c r="S52" s="51"/>
      <c r="U52" s="51"/>
      <c r="W52" s="51"/>
    </row>
    <row r="53" spans="2:23" ht="15.95" customHeight="1">
      <c r="B53" s="46" t="s">
        <v>32</v>
      </c>
      <c r="C53" s="46"/>
      <c r="D53" s="46"/>
      <c r="E53" s="46"/>
      <c r="H53" s="47">
        <f>+H54+H55</f>
        <v>1409385.0299999998</v>
      </c>
      <c r="I53" s="47">
        <f t="shared" ref="I53:S53" si="31">+I54+I55</f>
        <v>934423.51</v>
      </c>
      <c r="J53" s="47">
        <f t="shared" si="31"/>
        <v>986283.75</v>
      </c>
      <c r="K53" s="47">
        <f t="shared" si="31"/>
        <v>980450.18</v>
      </c>
      <c r="L53" s="47">
        <f t="shared" si="31"/>
        <v>886798.03</v>
      </c>
      <c r="M53" s="47">
        <f t="shared" si="31"/>
        <v>1002731.3600000001</v>
      </c>
      <c r="N53" s="47">
        <f t="shared" si="31"/>
        <v>926771.6</v>
      </c>
      <c r="O53" s="47">
        <f t="shared" si="31"/>
        <v>1058126.97</v>
      </c>
      <c r="P53" s="47">
        <f t="shared" si="31"/>
        <v>850333.15</v>
      </c>
      <c r="Q53" s="47">
        <f t="shared" si="31"/>
        <v>906070.85</v>
      </c>
      <c r="R53" s="47">
        <f t="shared" si="31"/>
        <v>869404.2</v>
      </c>
      <c r="S53" s="47">
        <f t="shared" si="31"/>
        <v>1089561.79</v>
      </c>
      <c r="U53" s="47">
        <f ca="1">SUM(OFFSET(A53,0,7,,MONTH(MAX($H$7:$S$7))))</f>
        <v>5197340.5</v>
      </c>
      <c r="W53" s="47">
        <f t="shared" ref="W53:W58" si="32">SUM(H53:S53)</f>
        <v>11900340.419999998</v>
      </c>
    </row>
    <row r="54" spans="2:23" ht="15.95" customHeight="1">
      <c r="B54" s="48" t="s">
        <v>33</v>
      </c>
      <c r="C54" s="48"/>
      <c r="D54" s="48"/>
      <c r="E54" s="48"/>
      <c r="H54" s="49">
        <v>1390547.5699999998</v>
      </c>
      <c r="I54" s="49">
        <v>913631.51</v>
      </c>
      <c r="J54" s="49">
        <v>960082</v>
      </c>
      <c r="K54" s="49">
        <v>960171.64</v>
      </c>
      <c r="L54" s="49">
        <v>864176.83000000007</v>
      </c>
      <c r="M54" s="49">
        <v>982399.17000000016</v>
      </c>
      <c r="N54" s="49">
        <v>908018.85</v>
      </c>
      <c r="O54" s="49">
        <v>1039286.02</v>
      </c>
      <c r="P54" s="49">
        <v>833729.52</v>
      </c>
      <c r="Q54" s="49">
        <v>890140.01</v>
      </c>
      <c r="R54" s="49">
        <v>855885.58</v>
      </c>
      <c r="S54" s="49">
        <v>1078079.56</v>
      </c>
      <c r="U54" s="49">
        <f t="shared" ref="U54:U58" ca="1" si="33">SUM(OFFSET(A54,0,7,,MONTH(MAX($H$7:$S$7))))</f>
        <v>5088609.55</v>
      </c>
      <c r="W54" s="49">
        <f t="shared" si="32"/>
        <v>11676148.26</v>
      </c>
    </row>
    <row r="55" spans="2:23" ht="15.95" customHeight="1">
      <c r="B55" s="48" t="s">
        <v>34</v>
      </c>
      <c r="C55" s="48"/>
      <c r="D55" s="48"/>
      <c r="E55" s="48"/>
      <c r="H55" s="49">
        <v>18837.46</v>
      </c>
      <c r="I55" s="49">
        <v>20792</v>
      </c>
      <c r="J55" s="49">
        <v>26201.75</v>
      </c>
      <c r="K55" s="49">
        <v>20278.54</v>
      </c>
      <c r="L55" s="49">
        <v>22621.200000000001</v>
      </c>
      <c r="M55" s="49">
        <v>20332.189999999999</v>
      </c>
      <c r="N55" s="49">
        <v>18752.75</v>
      </c>
      <c r="O55" s="49">
        <v>18840.95</v>
      </c>
      <c r="P55" s="49">
        <v>16603.63</v>
      </c>
      <c r="Q55" s="49">
        <v>15930.84</v>
      </c>
      <c r="R55" s="49">
        <v>13518.62</v>
      </c>
      <c r="S55" s="49">
        <v>11482.23</v>
      </c>
      <c r="U55" s="49">
        <f t="shared" ca="1" si="33"/>
        <v>108730.95</v>
      </c>
      <c r="W55" s="49">
        <f t="shared" si="32"/>
        <v>224192.16000000003</v>
      </c>
    </row>
    <row r="56" spans="2:23" ht="15.95" customHeight="1">
      <c r="B56" s="46" t="s">
        <v>35</v>
      </c>
      <c r="C56" s="46"/>
      <c r="D56" s="46"/>
      <c r="E56" s="46"/>
      <c r="H56" s="47">
        <v>-33304.389999999992</v>
      </c>
      <c r="I56" s="47">
        <v>-106322.68000000001</v>
      </c>
      <c r="J56" s="47">
        <v>-82832.820000000007</v>
      </c>
      <c r="K56" s="47">
        <v>-69520.600000000006</v>
      </c>
      <c r="L56" s="47">
        <v>-91420.51</v>
      </c>
      <c r="M56" s="47">
        <v>-95851.849999999991</v>
      </c>
      <c r="N56" s="47">
        <v>-61914.19</v>
      </c>
      <c r="O56" s="47">
        <v>-71428.680000000008</v>
      </c>
      <c r="P56" s="47">
        <v>-74067.460000000006</v>
      </c>
      <c r="Q56" s="47">
        <v>-65313.98</v>
      </c>
      <c r="R56" s="47">
        <v>-66571.12999999999</v>
      </c>
      <c r="S56" s="47">
        <v>-69989.510000000009</v>
      </c>
      <c r="U56" s="47">
        <f t="shared" ca="1" si="33"/>
        <v>-383401</v>
      </c>
      <c r="W56" s="47">
        <f t="shared" si="32"/>
        <v>-888537.8</v>
      </c>
    </row>
    <row r="57" spans="2:23" ht="15.95" customHeight="1">
      <c r="B57" s="50" t="s">
        <v>36</v>
      </c>
      <c r="C57" s="50"/>
      <c r="D57" s="50"/>
      <c r="E57" s="50"/>
      <c r="H57" s="51">
        <f>+H53+H56</f>
        <v>1376080.64</v>
      </c>
      <c r="I57" s="51">
        <f t="shared" ref="I57:S57" si="34">+I53+I56</f>
        <v>828100.83</v>
      </c>
      <c r="J57" s="51">
        <f t="shared" si="34"/>
        <v>903450.92999999993</v>
      </c>
      <c r="K57" s="51">
        <f t="shared" si="34"/>
        <v>910929.58000000007</v>
      </c>
      <c r="L57" s="51">
        <f t="shared" si="34"/>
        <v>795377.52</v>
      </c>
      <c r="M57" s="51">
        <f t="shared" si="34"/>
        <v>906879.51000000013</v>
      </c>
      <c r="N57" s="51">
        <f t="shared" si="34"/>
        <v>864857.40999999992</v>
      </c>
      <c r="O57" s="51">
        <f t="shared" si="34"/>
        <v>986698.28999999992</v>
      </c>
      <c r="P57" s="51">
        <f t="shared" si="34"/>
        <v>776265.69000000006</v>
      </c>
      <c r="Q57" s="51">
        <f t="shared" si="34"/>
        <v>840756.87</v>
      </c>
      <c r="R57" s="51">
        <f t="shared" si="34"/>
        <v>802833.07</v>
      </c>
      <c r="S57" s="51">
        <f t="shared" si="34"/>
        <v>1019572.28</v>
      </c>
      <c r="U57" s="51">
        <f t="shared" ca="1" si="33"/>
        <v>4813939.5</v>
      </c>
      <c r="W57" s="51">
        <f t="shared" si="32"/>
        <v>11011802.619999999</v>
      </c>
    </row>
    <row r="58" spans="2:23" ht="15.95" customHeight="1">
      <c r="B58" s="46" t="s">
        <v>54</v>
      </c>
      <c r="C58" s="46"/>
      <c r="D58" s="46"/>
      <c r="E58" s="46"/>
      <c r="H58" s="47">
        <v>848016</v>
      </c>
      <c r="I58" s="47">
        <v>848016</v>
      </c>
      <c r="J58" s="47">
        <v>848016</v>
      </c>
      <c r="K58" s="47">
        <v>880632</v>
      </c>
      <c r="L58" s="47">
        <v>880632</v>
      </c>
      <c r="M58" s="47">
        <v>1174176</v>
      </c>
      <c r="N58" s="47">
        <v>880632</v>
      </c>
      <c r="O58" s="47">
        <v>880632</v>
      </c>
      <c r="P58" s="47">
        <v>880632</v>
      </c>
      <c r="Q58" s="47">
        <v>880632</v>
      </c>
      <c r="R58" s="47">
        <v>880632</v>
      </c>
      <c r="S58" s="47">
        <v>880632</v>
      </c>
      <c r="U58" s="47">
        <f t="shared" ca="1" si="33"/>
        <v>4305312</v>
      </c>
      <c r="W58" s="47">
        <f t="shared" si="32"/>
        <v>10763280</v>
      </c>
    </row>
    <row r="59" spans="2:23" ht="15.95" customHeight="1">
      <c r="B59" s="50" t="s">
        <v>38</v>
      </c>
      <c r="C59" s="52"/>
      <c r="D59" s="52"/>
      <c r="E59" s="52"/>
      <c r="H59" s="82">
        <v>0.13</v>
      </c>
      <c r="I59" s="82">
        <v>0.13</v>
      </c>
      <c r="J59" s="82">
        <v>0.13</v>
      </c>
      <c r="K59" s="82">
        <v>0.13500000000000001</v>
      </c>
      <c r="L59" s="82">
        <v>0.13500000000000001</v>
      </c>
      <c r="M59" s="82">
        <v>0.18</v>
      </c>
      <c r="N59" s="82">
        <v>0.13500000000000001</v>
      </c>
      <c r="O59" s="82">
        <v>0.13500000000000001</v>
      </c>
      <c r="P59" s="82">
        <v>0.13500000000000001</v>
      </c>
      <c r="Q59" s="82">
        <v>0.13500000000000001</v>
      </c>
      <c r="R59" s="82">
        <v>0.13500000000000001</v>
      </c>
      <c r="S59" s="82">
        <v>0.13500000000000001</v>
      </c>
      <c r="T59" s="83"/>
      <c r="U59" s="82">
        <f ca="1">AVERAGE(OFFSET(A59,0,7,,MONTH(MAX($H$7:$S$7))))</f>
        <v>0.13200000000000001</v>
      </c>
      <c r="V59" s="83"/>
      <c r="W59" s="82">
        <f>AVERAGE(H59:S59)</f>
        <v>0.13750000000000001</v>
      </c>
    </row>
    <row r="60" spans="2:23" ht="15.95" customHeight="1">
      <c r="B60" s="50" t="s">
        <v>37</v>
      </c>
      <c r="C60" s="52"/>
      <c r="D60" s="52"/>
      <c r="E60" s="52"/>
      <c r="H60" s="82">
        <f>H57/6523200</f>
        <v>0.21095177826833456</v>
      </c>
      <c r="I60" s="82">
        <f t="shared" ref="I60:S60" si="35">I57/6523200</f>
        <v>0.12694702446651948</v>
      </c>
      <c r="J60" s="82">
        <f t="shared" si="35"/>
        <v>0.13849811902133921</v>
      </c>
      <c r="K60" s="82">
        <f t="shared" si="35"/>
        <v>0.13964458854549916</v>
      </c>
      <c r="L60" s="82">
        <f t="shared" si="35"/>
        <v>0.12193057395143488</v>
      </c>
      <c r="M60" s="82">
        <f t="shared" si="35"/>
        <v>0.13902371688741724</v>
      </c>
      <c r="N60" s="82">
        <f t="shared" si="35"/>
        <v>0.1325817712165808</v>
      </c>
      <c r="O60" s="82">
        <f t="shared" si="35"/>
        <v>0.15125985559234731</v>
      </c>
      <c r="P60" s="82">
        <f t="shared" si="35"/>
        <v>0.11900074963208242</v>
      </c>
      <c r="Q60" s="82">
        <f t="shared" si="35"/>
        <v>0.12888718267108168</v>
      </c>
      <c r="R60" s="82">
        <f t="shared" si="35"/>
        <v>0.1230735022688251</v>
      </c>
      <c r="S60" s="82">
        <f t="shared" si="35"/>
        <v>0.1562994051999019</v>
      </c>
      <c r="T60" s="83"/>
      <c r="U60" s="82">
        <f ca="1">AVERAGE(OFFSET(A60,0,7,,MONTH(MAX($H$7:$S$7))))</f>
        <v>0.14759441685062549</v>
      </c>
      <c r="V60" s="83"/>
      <c r="W60" s="82">
        <f>AVERAGE(H60:S60)</f>
        <v>0.14067485564344698</v>
      </c>
    </row>
    <row r="61" spans="2:23" ht="24" customHeight="1">
      <c r="H61" s="9"/>
      <c r="I61" s="9"/>
      <c r="J61" s="9"/>
      <c r="K61" s="9"/>
      <c r="L61" s="9"/>
      <c r="M61" s="9"/>
      <c r="N61" s="9"/>
      <c r="O61" s="9"/>
      <c r="U61" s="49"/>
      <c r="V61" s="4"/>
    </row>
    <row r="62" spans="2:23" ht="17.45" customHeight="1">
      <c r="B62" s="23" t="s">
        <v>46</v>
      </c>
      <c r="C62" s="20"/>
      <c r="D62" s="20"/>
      <c r="E62" s="20"/>
      <c r="F62" s="21"/>
      <c r="G62" s="21"/>
      <c r="H62" s="22">
        <v>44562</v>
      </c>
      <c r="I62" s="22">
        <f t="shared" ref="I62:S62" si="36">EDATE(H62,1)</f>
        <v>44593</v>
      </c>
      <c r="J62" s="22">
        <f t="shared" si="36"/>
        <v>44621</v>
      </c>
      <c r="K62" s="22">
        <f t="shared" si="36"/>
        <v>44652</v>
      </c>
      <c r="L62" s="22">
        <f t="shared" si="36"/>
        <v>44682</v>
      </c>
      <c r="M62" s="22">
        <f t="shared" si="36"/>
        <v>44713</v>
      </c>
      <c r="N62" s="22">
        <f t="shared" si="36"/>
        <v>44743</v>
      </c>
      <c r="O62" s="22">
        <f t="shared" si="36"/>
        <v>44774</v>
      </c>
      <c r="P62" s="22">
        <f t="shared" si="36"/>
        <v>44805</v>
      </c>
      <c r="Q62" s="22">
        <f t="shared" si="36"/>
        <v>44835</v>
      </c>
      <c r="R62" s="22">
        <f t="shared" si="36"/>
        <v>44866</v>
      </c>
      <c r="S62" s="22">
        <f t="shared" si="36"/>
        <v>44896</v>
      </c>
      <c r="U62" s="22" t="str">
        <f>"Jan/"&amp;PROPER(TEXT(MAX($G$7:$S$7),"mmm"))&amp;"-"&amp;RIGHT(W62,2)</f>
        <v>Jan/Mai-22</v>
      </c>
      <c r="W62" s="55">
        <v>2022</v>
      </c>
    </row>
    <row r="63" spans="2:23" ht="4.5" customHeight="1">
      <c r="B63" s="3"/>
      <c r="C63" s="6"/>
      <c r="D63" s="6"/>
      <c r="E63" s="6"/>
      <c r="H63" s="8"/>
      <c r="I63" s="8"/>
      <c r="J63" s="8"/>
      <c r="K63" s="8"/>
      <c r="L63" s="8"/>
      <c r="M63" s="8"/>
      <c r="N63" s="8"/>
      <c r="O63" s="8"/>
      <c r="P63" s="8"/>
      <c r="Q63" s="8"/>
      <c r="R63" s="8"/>
      <c r="S63" s="8"/>
      <c r="U63" s="8"/>
      <c r="W63" s="8"/>
    </row>
    <row r="64" spans="2:23" ht="4.5" customHeight="1">
      <c r="B64" s="3"/>
      <c r="C64" s="6"/>
      <c r="D64" s="6"/>
      <c r="E64" s="6"/>
      <c r="H64" s="8"/>
      <c r="I64" s="8"/>
      <c r="J64" s="8"/>
      <c r="K64" s="8"/>
      <c r="L64" s="8"/>
      <c r="M64" s="8"/>
      <c r="N64" s="8"/>
      <c r="O64" s="8"/>
      <c r="P64" s="8"/>
      <c r="Q64" s="8"/>
      <c r="R64" s="8"/>
      <c r="S64" s="8"/>
      <c r="U64" s="8"/>
      <c r="W64" s="8"/>
    </row>
    <row r="65" spans="2:23" ht="17.45" customHeight="1">
      <c r="B65" s="50"/>
      <c r="C65" s="50"/>
      <c r="D65" s="50"/>
      <c r="E65" s="50"/>
      <c r="H65" s="51"/>
      <c r="I65" s="51"/>
      <c r="J65" s="51"/>
      <c r="K65" s="51"/>
      <c r="L65" s="51"/>
      <c r="M65" s="51"/>
      <c r="N65" s="51"/>
      <c r="O65" s="51"/>
      <c r="P65" s="51"/>
      <c r="Q65" s="51"/>
      <c r="R65" s="51"/>
      <c r="S65" s="51"/>
      <c r="U65" s="51"/>
      <c r="W65" s="51"/>
    </row>
    <row r="66" spans="2:23" ht="17.45" customHeight="1">
      <c r="B66" s="46" t="s">
        <v>32</v>
      </c>
      <c r="C66" s="46"/>
      <c r="D66" s="46"/>
      <c r="E66" s="46"/>
      <c r="H66" s="47">
        <f t="shared" ref="H66:S66" si="37">+H67+H68</f>
        <v>1113302.2999999998</v>
      </c>
      <c r="I66" s="47">
        <f t="shared" si="37"/>
        <v>750569.99</v>
      </c>
      <c r="J66" s="47">
        <f t="shared" si="37"/>
        <v>710455.13</v>
      </c>
      <c r="K66" s="47">
        <f t="shared" si="37"/>
        <v>643301.67000000004</v>
      </c>
      <c r="L66" s="47">
        <f t="shared" si="37"/>
        <v>772995.53999999992</v>
      </c>
      <c r="M66" s="47">
        <f t="shared" si="37"/>
        <v>617173.36999999988</v>
      </c>
      <c r="N66" s="47">
        <f t="shared" si="37"/>
        <v>599231.34000000008</v>
      </c>
      <c r="O66" s="47">
        <f t="shared" si="37"/>
        <v>739103.75</v>
      </c>
      <c r="P66" s="47">
        <f t="shared" si="37"/>
        <v>679169.52</v>
      </c>
      <c r="Q66" s="47">
        <f t="shared" si="37"/>
        <v>677512.76</v>
      </c>
      <c r="R66" s="47">
        <f t="shared" si="37"/>
        <v>812091.95</v>
      </c>
      <c r="S66" s="47">
        <f t="shared" si="37"/>
        <v>1005775.67</v>
      </c>
      <c r="U66" s="47">
        <f ca="1">SUM(OFFSET(A66,0,7,,MONTH(MAX($H$7:$S$7))))</f>
        <v>3990624.63</v>
      </c>
      <c r="W66" s="47">
        <f>SUM(H66:S66)</f>
        <v>9120682.9900000002</v>
      </c>
    </row>
    <row r="67" spans="2:23" ht="17.45" customHeight="1">
      <c r="B67" s="48" t="s">
        <v>33</v>
      </c>
      <c r="C67" s="48"/>
      <c r="D67" s="48"/>
      <c r="E67" s="48"/>
      <c r="H67" s="49">
        <v>1098888.3999999999</v>
      </c>
      <c r="I67" s="49">
        <v>733610.67999999993</v>
      </c>
      <c r="J67" s="49">
        <v>689767.06</v>
      </c>
      <c r="K67" s="49">
        <v>626568.89</v>
      </c>
      <c r="L67" s="49">
        <v>750739.22</v>
      </c>
      <c r="M67" s="49">
        <v>595214.12999999989</v>
      </c>
      <c r="N67" s="49">
        <v>576806.57000000007</v>
      </c>
      <c r="O67" s="49">
        <v>716106.18</v>
      </c>
      <c r="P67" s="49">
        <v>658392.76</v>
      </c>
      <c r="Q67" s="49">
        <v>658188.71</v>
      </c>
      <c r="R67" s="49">
        <v>792794.45</v>
      </c>
      <c r="S67" s="49">
        <v>984960.09000000008</v>
      </c>
      <c r="U67" s="49">
        <f ca="1">SUM(OFFSET(A67,0,7,,MONTH(MAX($H$7:$S$7))))</f>
        <v>3899574.25</v>
      </c>
      <c r="W67" s="49">
        <f t="shared" ref="W67:W71" si="38">SUM(H67:S67)</f>
        <v>8882037.1400000006</v>
      </c>
    </row>
    <row r="68" spans="2:23" ht="17.45" customHeight="1">
      <c r="B68" s="48" t="s">
        <v>34</v>
      </c>
      <c r="C68" s="48"/>
      <c r="D68" s="48"/>
      <c r="E68" s="48"/>
      <c r="H68" s="49">
        <v>14413.9</v>
      </c>
      <c r="I68" s="49">
        <v>16959.309999999998</v>
      </c>
      <c r="J68" s="49">
        <v>20688.07</v>
      </c>
      <c r="K68" s="49">
        <v>16732.78</v>
      </c>
      <c r="L68" s="49">
        <v>22256.32</v>
      </c>
      <c r="M68" s="49">
        <v>21959.239999999998</v>
      </c>
      <c r="N68" s="49">
        <v>22424.769999999997</v>
      </c>
      <c r="O68" s="49">
        <v>22997.57</v>
      </c>
      <c r="P68" s="49">
        <v>20776.760000000002</v>
      </c>
      <c r="Q68" s="49">
        <v>19324.05</v>
      </c>
      <c r="R68" s="49">
        <v>19297.5</v>
      </c>
      <c r="S68" s="49">
        <v>20815.580000000002</v>
      </c>
      <c r="U68" s="49">
        <f t="shared" ref="U68:U71" ca="1" si="39">SUM(OFFSET(A68,0,7,,MONTH(MAX($H$7:$S$7))))</f>
        <v>91050.38</v>
      </c>
      <c r="W68" s="49">
        <f t="shared" si="38"/>
        <v>238645.84999999998</v>
      </c>
    </row>
    <row r="69" spans="2:23" ht="17.45" customHeight="1">
      <c r="B69" s="46" t="s">
        <v>35</v>
      </c>
      <c r="C69" s="46"/>
      <c r="D69" s="46"/>
      <c r="E69" s="46"/>
      <c r="H69" s="47">
        <v>-56960.100000000006</v>
      </c>
      <c r="I69" s="47">
        <v>-63493.385000000009</v>
      </c>
      <c r="J69" s="47">
        <v>-72420.850000000006</v>
      </c>
      <c r="K69" s="47">
        <v>-79421.100000000006</v>
      </c>
      <c r="L69" s="47">
        <v>-69277.390000000014</v>
      </c>
      <c r="M69" s="47">
        <v>-57120.100000000006</v>
      </c>
      <c r="N69" s="47">
        <v>-57901.100000000006</v>
      </c>
      <c r="O69" s="47">
        <v>-57941.100000000006</v>
      </c>
      <c r="P69" s="47">
        <v>-61959.29</v>
      </c>
      <c r="Q69" s="47">
        <v>-58820.29</v>
      </c>
      <c r="R69" s="47">
        <v>-87040.904999999999</v>
      </c>
      <c r="S69" s="47">
        <v>-144398.44</v>
      </c>
      <c r="U69" s="47">
        <f t="shared" ca="1" si="39"/>
        <v>-341572.82500000007</v>
      </c>
      <c r="W69" s="47">
        <f t="shared" si="38"/>
        <v>-866754.05</v>
      </c>
    </row>
    <row r="70" spans="2:23" ht="17.45" customHeight="1">
      <c r="B70" s="50" t="s">
        <v>36</v>
      </c>
      <c r="C70" s="50"/>
      <c r="D70" s="50"/>
      <c r="E70" s="50"/>
      <c r="H70" s="51">
        <f t="shared" ref="H70:S70" si="40">+H66+H69</f>
        <v>1056342.1999999997</v>
      </c>
      <c r="I70" s="51">
        <f t="shared" si="40"/>
        <v>687076.60499999998</v>
      </c>
      <c r="J70" s="51">
        <f t="shared" si="40"/>
        <v>638034.28</v>
      </c>
      <c r="K70" s="51">
        <f t="shared" si="40"/>
        <v>563880.57000000007</v>
      </c>
      <c r="L70" s="51">
        <f t="shared" si="40"/>
        <v>703718.14999999991</v>
      </c>
      <c r="M70" s="51">
        <f t="shared" si="40"/>
        <v>560053.2699999999</v>
      </c>
      <c r="N70" s="51">
        <f t="shared" si="40"/>
        <v>541330.24000000011</v>
      </c>
      <c r="O70" s="51">
        <f t="shared" si="40"/>
        <v>681162.65</v>
      </c>
      <c r="P70" s="51">
        <f t="shared" si="40"/>
        <v>617210.23</v>
      </c>
      <c r="Q70" s="51">
        <f t="shared" si="40"/>
        <v>618692.47</v>
      </c>
      <c r="R70" s="51">
        <f t="shared" si="40"/>
        <v>725051.04499999993</v>
      </c>
      <c r="S70" s="51">
        <f t="shared" si="40"/>
        <v>861377.23</v>
      </c>
      <c r="U70" s="51">
        <f t="shared" ca="1" si="39"/>
        <v>3649051.8050000002</v>
      </c>
      <c r="W70" s="51">
        <f t="shared" si="38"/>
        <v>8253928.9399999995</v>
      </c>
    </row>
    <row r="71" spans="2:23" ht="17.45" customHeight="1">
      <c r="B71" s="46" t="s">
        <v>54</v>
      </c>
      <c r="C71" s="46"/>
      <c r="D71" s="46"/>
      <c r="E71" s="46"/>
      <c r="H71" s="47">
        <v>521856</v>
      </c>
      <c r="I71" s="47">
        <v>652320</v>
      </c>
      <c r="J71" s="47">
        <v>652320</v>
      </c>
      <c r="K71" s="47">
        <v>619704</v>
      </c>
      <c r="L71" s="47">
        <v>717552</v>
      </c>
      <c r="M71" s="47">
        <v>834037.89545361605</v>
      </c>
      <c r="N71" s="47">
        <v>652320</v>
      </c>
      <c r="O71" s="47">
        <v>652320</v>
      </c>
      <c r="P71" s="47">
        <v>641235.88449676801</v>
      </c>
      <c r="Q71" s="47">
        <v>616185.50999126397</v>
      </c>
      <c r="R71" s="47">
        <v>0</v>
      </c>
      <c r="S71" s="47">
        <v>1304640</v>
      </c>
      <c r="U71" s="47">
        <f t="shared" ca="1" si="39"/>
        <v>3163752</v>
      </c>
      <c r="W71" s="47">
        <f t="shared" si="38"/>
        <v>7864491.289941648</v>
      </c>
    </row>
    <row r="72" spans="2:23" ht="17.45" customHeight="1">
      <c r="B72" s="50" t="s">
        <v>38</v>
      </c>
      <c r="C72" s="52"/>
      <c r="D72" s="52"/>
      <c r="E72" s="52"/>
      <c r="H72" s="82">
        <v>0.08</v>
      </c>
      <c r="I72" s="82">
        <v>0.1</v>
      </c>
      <c r="J72" s="82">
        <v>0.1</v>
      </c>
      <c r="K72" s="82">
        <v>9.5000000000000001E-2</v>
      </c>
      <c r="L72" s="82">
        <v>0.11</v>
      </c>
      <c r="M72" s="82">
        <v>0.12785717063000002</v>
      </c>
      <c r="N72" s="82">
        <v>0.1</v>
      </c>
      <c r="O72" s="82">
        <v>0.1</v>
      </c>
      <c r="P72" s="82">
        <v>9.8300816240000005E-2</v>
      </c>
      <c r="Q72" s="82">
        <v>9.4460619019999997E-2</v>
      </c>
      <c r="R72" s="82">
        <v>0</v>
      </c>
      <c r="S72" s="82">
        <v>0.2</v>
      </c>
      <c r="T72" s="83"/>
      <c r="U72" s="82">
        <f ca="1">AVERAGE(OFFSET(A72,0,7,,MONTH(MAX($H$7:$S$7))))</f>
        <v>9.7000000000000003E-2</v>
      </c>
      <c r="V72" s="83"/>
      <c r="W72" s="82">
        <f>AVERAGE(H72:S72)</f>
        <v>0.10046821715749998</v>
      </c>
    </row>
    <row r="73" spans="2:23" ht="17.45" customHeight="1">
      <c r="B73" s="50" t="s">
        <v>37</v>
      </c>
      <c r="C73" s="52"/>
      <c r="D73" s="52"/>
      <c r="E73" s="52"/>
      <c r="H73" s="82">
        <v>0.16193619695854791</v>
      </c>
      <c r="I73" s="82">
        <v>0.10532815259381899</v>
      </c>
      <c r="J73" s="82">
        <v>9.7810013490311501E-2</v>
      </c>
      <c r="K73" s="82">
        <v>8.6442324319352476E-2</v>
      </c>
      <c r="L73" s="82">
        <v>0.10787928470689231</v>
      </c>
      <c r="M73" s="82">
        <v>8.5855603078243789E-2</v>
      </c>
      <c r="N73" s="82">
        <v>8.2985381407897976E-2</v>
      </c>
      <c r="O73" s="82">
        <v>0.10442154923963699</v>
      </c>
      <c r="P73" s="82">
        <v>9.4617707566838363E-2</v>
      </c>
      <c r="Q73" s="82">
        <v>9.4844933468236442E-2</v>
      </c>
      <c r="R73" s="82">
        <v>0.11114959605714986</v>
      </c>
      <c r="S73" s="82">
        <v>0.13204826312239393</v>
      </c>
      <c r="T73" s="83"/>
      <c r="U73" s="82">
        <f ca="1">AVERAGE(OFFSET(A73,0,7,,MONTH(MAX($H$7:$S$7))))</f>
        <v>0.11187919441378465</v>
      </c>
      <c r="V73" s="83"/>
      <c r="W73" s="82">
        <f>AVERAGE(H73:S73)</f>
        <v>0.1054432505007767</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Y37"/>
  <sheetViews>
    <sheetView showGridLines="0" zoomScale="85" zoomScaleNormal="85" workbookViewId="0">
      <pane xSplit="7" ySplit="8" topLeftCell="CE9" activePane="bottomRight" state="frozen"/>
      <selection activeCell="G33" sqref="G33"/>
      <selection pane="topRight" activeCell="G33" sqref="G33"/>
      <selection pane="bottomLeft" activeCell="G33" sqref="G33"/>
      <selection pane="bottomRight" activeCell="CS1" sqref="CS1"/>
    </sheetView>
  </sheetViews>
  <sheetFormatPr defaultColWidth="10.7109375" defaultRowHeight="17.45" customHeight="1"/>
  <cols>
    <col min="1" max="1" width="1.7109375" style="4" customWidth="1"/>
    <col min="2" max="5" width="10.7109375" style="4"/>
    <col min="6" max="6" width="13.85546875" style="4" customWidth="1"/>
    <col min="7" max="8" width="0.85546875" style="5" customWidth="1"/>
    <col min="9" max="96" width="12.7109375" style="4" customWidth="1"/>
    <col min="97" max="97" width="0.85546875" style="5" customWidth="1"/>
    <col min="98" max="98" width="15.7109375" style="4" customWidth="1"/>
    <col min="99" max="99" width="0.85546875" style="5" customWidth="1"/>
    <col min="100" max="100" width="15.7109375" style="4" customWidth="1"/>
    <col min="101" max="101" width="0.85546875" style="5" customWidth="1"/>
    <col min="102" max="16384" width="10.7109375" style="4"/>
  </cols>
  <sheetData>
    <row r="1" spans="2:103" ht="9.9499999999999993" customHeight="1"/>
    <row r="6" spans="2:103" ht="17.45" customHeight="1">
      <c r="CV6" s="27"/>
    </row>
    <row r="7" spans="2:103" ht="24.75" customHeight="1">
      <c r="B7" s="23" t="s">
        <v>31</v>
      </c>
      <c r="C7" s="20"/>
      <c r="D7" s="20"/>
      <c r="E7" s="20"/>
      <c r="F7" s="20"/>
      <c r="G7" s="21"/>
      <c r="H7" s="21"/>
      <c r="I7" s="22">
        <v>43466</v>
      </c>
      <c r="J7" s="22">
        <f t="shared" ref="J7" si="0">EDATE(I7,1)</f>
        <v>43497</v>
      </c>
      <c r="K7" s="22">
        <f t="shared" ref="K7" si="1">EDATE(J7,1)</f>
        <v>43525</v>
      </c>
      <c r="L7" s="22">
        <f t="shared" ref="L7" si="2">EDATE(K7,1)</f>
        <v>43556</v>
      </c>
      <c r="M7" s="22">
        <f t="shared" ref="M7" si="3">EDATE(L7,1)</f>
        <v>43586</v>
      </c>
      <c r="N7" s="22">
        <f t="shared" ref="N7" si="4">EDATE(M7,1)</f>
        <v>43617</v>
      </c>
      <c r="O7" s="22">
        <f t="shared" ref="O7" si="5">EDATE(N7,1)</f>
        <v>43647</v>
      </c>
      <c r="P7" s="22">
        <f t="shared" ref="P7" si="6">EDATE(O7,1)</f>
        <v>43678</v>
      </c>
      <c r="Q7" s="22">
        <f t="shared" ref="Q7" si="7">EDATE(P7,1)</f>
        <v>43709</v>
      </c>
      <c r="R7" s="22">
        <f t="shared" ref="R7" si="8">EDATE(Q7,1)</f>
        <v>43739</v>
      </c>
      <c r="S7" s="22">
        <f t="shared" ref="S7" si="9">EDATE(R7,1)</f>
        <v>43770</v>
      </c>
      <c r="T7" s="22">
        <f t="shared" ref="T7:AD7" si="10">EDATE(S7,1)</f>
        <v>43800</v>
      </c>
      <c r="U7" s="22">
        <f t="shared" si="10"/>
        <v>43831</v>
      </c>
      <c r="V7" s="22">
        <f t="shared" si="10"/>
        <v>43862</v>
      </c>
      <c r="W7" s="22">
        <f t="shared" si="10"/>
        <v>43891</v>
      </c>
      <c r="X7" s="22">
        <f t="shared" si="10"/>
        <v>43922</v>
      </c>
      <c r="Y7" s="22">
        <f t="shared" si="10"/>
        <v>43952</v>
      </c>
      <c r="Z7" s="22">
        <f t="shared" si="10"/>
        <v>43983</v>
      </c>
      <c r="AA7" s="22">
        <f t="shared" si="10"/>
        <v>44013</v>
      </c>
      <c r="AB7" s="22">
        <f t="shared" si="10"/>
        <v>44044</v>
      </c>
      <c r="AC7" s="22">
        <f t="shared" si="10"/>
        <v>44075</v>
      </c>
      <c r="AD7" s="22">
        <f t="shared" si="10"/>
        <v>44105</v>
      </c>
      <c r="AE7" s="22">
        <f t="shared" ref="AE7" si="11">EDATE(AD7,1)</f>
        <v>44136</v>
      </c>
      <c r="AF7" s="22">
        <f t="shared" ref="AF7:AQ7" si="12">EDATE(AE7,1)</f>
        <v>44166</v>
      </c>
      <c r="AG7" s="22">
        <f t="shared" si="12"/>
        <v>44197</v>
      </c>
      <c r="AH7" s="22">
        <f t="shared" si="12"/>
        <v>44228</v>
      </c>
      <c r="AI7" s="22">
        <f t="shared" si="12"/>
        <v>44256</v>
      </c>
      <c r="AJ7" s="22">
        <f t="shared" si="12"/>
        <v>44287</v>
      </c>
      <c r="AK7" s="22">
        <f t="shared" si="12"/>
        <v>44317</v>
      </c>
      <c r="AL7" s="22">
        <f t="shared" si="12"/>
        <v>44348</v>
      </c>
      <c r="AM7" s="22">
        <f t="shared" si="12"/>
        <v>44378</v>
      </c>
      <c r="AN7" s="22">
        <f t="shared" si="12"/>
        <v>44409</v>
      </c>
      <c r="AO7" s="22">
        <f t="shared" si="12"/>
        <v>44440</v>
      </c>
      <c r="AP7" s="22">
        <f t="shared" si="12"/>
        <v>44470</v>
      </c>
      <c r="AQ7" s="22">
        <f t="shared" si="12"/>
        <v>44501</v>
      </c>
      <c r="AR7" s="22">
        <f t="shared" ref="AR7" si="13">EDATE(AQ7,1)</f>
        <v>44531</v>
      </c>
      <c r="AS7" s="22">
        <f t="shared" ref="AS7" si="14">EDATE(AR7,1)</f>
        <v>44562</v>
      </c>
      <c r="AT7" s="22">
        <f t="shared" ref="AT7" si="15">EDATE(AS7,1)</f>
        <v>44593</v>
      </c>
      <c r="AU7" s="22">
        <f t="shared" ref="AU7" si="16">EDATE(AT7,1)</f>
        <v>44621</v>
      </c>
      <c r="AV7" s="22">
        <f t="shared" ref="AV7" si="17">EDATE(AU7,1)</f>
        <v>44652</v>
      </c>
      <c r="AW7" s="22">
        <f t="shared" ref="AW7" si="18">EDATE(AV7,1)</f>
        <v>44682</v>
      </c>
      <c r="AX7" s="22">
        <f t="shared" ref="AX7" si="19">EDATE(AW7,1)</f>
        <v>44713</v>
      </c>
      <c r="AY7" s="22">
        <f t="shared" ref="AY7" si="20">EDATE(AX7,1)</f>
        <v>44743</v>
      </c>
      <c r="AZ7" s="22">
        <f t="shared" ref="AZ7" si="21">EDATE(AY7,1)</f>
        <v>44774</v>
      </c>
      <c r="BA7" s="22">
        <f t="shared" ref="BA7" si="22">EDATE(AZ7,1)</f>
        <v>44805</v>
      </c>
      <c r="BB7" s="22">
        <f t="shared" ref="BB7:BL7" si="23">EDATE(BA7,1)</f>
        <v>44835</v>
      </c>
      <c r="BC7" s="22">
        <f t="shared" si="23"/>
        <v>44866</v>
      </c>
      <c r="BD7" s="22">
        <f t="shared" si="23"/>
        <v>44896</v>
      </c>
      <c r="BE7" s="22">
        <f t="shared" si="23"/>
        <v>44927</v>
      </c>
      <c r="BF7" s="22">
        <f t="shared" si="23"/>
        <v>44958</v>
      </c>
      <c r="BG7" s="22">
        <f t="shared" si="23"/>
        <v>44986</v>
      </c>
      <c r="BH7" s="22">
        <f t="shared" si="23"/>
        <v>45017</v>
      </c>
      <c r="BI7" s="22">
        <f t="shared" si="23"/>
        <v>45047</v>
      </c>
      <c r="BJ7" s="22">
        <f t="shared" si="23"/>
        <v>45078</v>
      </c>
      <c r="BK7" s="22">
        <f t="shared" si="23"/>
        <v>45108</v>
      </c>
      <c r="BL7" s="22">
        <f t="shared" si="23"/>
        <v>45139</v>
      </c>
      <c r="BM7" s="22">
        <f t="shared" ref="BM7" si="24">EDATE(BL7,1)</f>
        <v>45170</v>
      </c>
      <c r="BN7" s="22">
        <f t="shared" ref="BN7:BR7" si="25">EDATE(BM7,1)</f>
        <v>45200</v>
      </c>
      <c r="BO7" s="22">
        <f t="shared" si="25"/>
        <v>45231</v>
      </c>
      <c r="BP7" s="22">
        <f t="shared" si="25"/>
        <v>45261</v>
      </c>
      <c r="BQ7" s="22">
        <f t="shared" si="25"/>
        <v>45292</v>
      </c>
      <c r="BR7" s="22">
        <f t="shared" si="25"/>
        <v>45323</v>
      </c>
      <c r="BS7" s="22">
        <f t="shared" ref="BS7" si="26">EDATE(BR7,1)</f>
        <v>45352</v>
      </c>
      <c r="BT7" s="22">
        <f t="shared" ref="BT7:CR7" si="27">EDATE(BS7,1)</f>
        <v>45383</v>
      </c>
      <c r="BU7" s="22">
        <f t="shared" si="27"/>
        <v>45413</v>
      </c>
      <c r="BV7" s="22">
        <f t="shared" si="27"/>
        <v>45444</v>
      </c>
      <c r="BW7" s="22">
        <f t="shared" si="27"/>
        <v>45474</v>
      </c>
      <c r="BX7" s="22">
        <f t="shared" si="27"/>
        <v>45505</v>
      </c>
      <c r="BY7" s="22">
        <f t="shared" si="27"/>
        <v>45536</v>
      </c>
      <c r="BZ7" s="22">
        <f t="shared" si="27"/>
        <v>45566</v>
      </c>
      <c r="CA7" s="22">
        <f t="shared" si="27"/>
        <v>45597</v>
      </c>
      <c r="CB7" s="22">
        <f t="shared" si="27"/>
        <v>45627</v>
      </c>
      <c r="CC7" s="22">
        <f t="shared" si="27"/>
        <v>45658</v>
      </c>
      <c r="CD7" s="22">
        <f t="shared" si="27"/>
        <v>45689</v>
      </c>
      <c r="CE7" s="22">
        <f t="shared" si="27"/>
        <v>45717</v>
      </c>
      <c r="CF7" s="22">
        <f t="shared" si="27"/>
        <v>45748</v>
      </c>
      <c r="CG7" s="22">
        <f t="shared" si="27"/>
        <v>45778</v>
      </c>
      <c r="CH7" s="22">
        <f t="shared" si="27"/>
        <v>45809</v>
      </c>
      <c r="CI7" s="22">
        <f t="shared" si="27"/>
        <v>45839</v>
      </c>
      <c r="CJ7" s="22">
        <f t="shared" si="27"/>
        <v>45870</v>
      </c>
      <c r="CK7" s="22">
        <f t="shared" si="27"/>
        <v>45901</v>
      </c>
      <c r="CL7" s="22">
        <f t="shared" si="27"/>
        <v>45931</v>
      </c>
      <c r="CM7" s="22">
        <f t="shared" si="27"/>
        <v>45962</v>
      </c>
      <c r="CN7" s="22">
        <f t="shared" si="27"/>
        <v>45992</v>
      </c>
      <c r="CO7" s="22">
        <f t="shared" si="27"/>
        <v>46023</v>
      </c>
      <c r="CP7" s="22">
        <f t="shared" si="27"/>
        <v>46054</v>
      </c>
      <c r="CQ7" s="22">
        <f t="shared" si="27"/>
        <v>46082</v>
      </c>
      <c r="CR7" s="22">
        <f t="shared" si="27"/>
        <v>46113</v>
      </c>
      <c r="CS7" s="21"/>
      <c r="CT7" s="44">
        <v>2026</v>
      </c>
      <c r="CU7" s="21"/>
      <c r="CV7" s="24" t="str">
        <f>"Jan/"&amp;PROPER(TEXT(MAX(H7:CS7),"mmm"))&amp;"-25"</f>
        <v>Jan/Abr-25</v>
      </c>
      <c r="CW7" s="21"/>
      <c r="CX7" s="53" t="s">
        <v>39</v>
      </c>
      <c r="CY7" s="53" t="s">
        <v>39</v>
      </c>
    </row>
    <row r="8" spans="2:103" ht="5.0999999999999996" customHeight="1">
      <c r="B8" s="3"/>
      <c r="C8" s="6"/>
      <c r="D8" s="6"/>
      <c r="E8" s="6"/>
      <c r="F8" s="6"/>
      <c r="G8" s="21"/>
      <c r="H8" s="21"/>
      <c r="I8" s="43">
        <f t="shared" ref="I8" si="28">YEAR(I7)</f>
        <v>2019</v>
      </c>
      <c r="J8" s="43">
        <f t="shared" ref="J8:R8" si="29">YEAR(J7)</f>
        <v>2019</v>
      </c>
      <c r="K8" s="43">
        <f t="shared" si="29"/>
        <v>2019</v>
      </c>
      <c r="L8" s="43">
        <f t="shared" si="29"/>
        <v>2019</v>
      </c>
      <c r="M8" s="43">
        <f t="shared" si="29"/>
        <v>2019</v>
      </c>
      <c r="N8" s="43">
        <f t="shared" si="29"/>
        <v>2019</v>
      </c>
      <c r="O8" s="43">
        <f t="shared" si="29"/>
        <v>2019</v>
      </c>
      <c r="P8" s="43">
        <f t="shared" si="29"/>
        <v>2019</v>
      </c>
      <c r="Q8" s="43">
        <f t="shared" si="29"/>
        <v>2019</v>
      </c>
      <c r="R8" s="43">
        <f t="shared" si="29"/>
        <v>2019</v>
      </c>
      <c r="S8" s="43">
        <f t="shared" ref="S8:AF8" si="30">YEAR(S7)</f>
        <v>2019</v>
      </c>
      <c r="T8" s="43">
        <f t="shared" si="30"/>
        <v>2019</v>
      </c>
      <c r="U8" s="43">
        <f t="shared" si="30"/>
        <v>2020</v>
      </c>
      <c r="V8" s="43">
        <f t="shared" si="30"/>
        <v>2020</v>
      </c>
      <c r="W8" s="43">
        <f t="shared" si="30"/>
        <v>2020</v>
      </c>
      <c r="X8" s="43">
        <f t="shared" si="30"/>
        <v>2020</v>
      </c>
      <c r="Y8" s="43">
        <f t="shared" si="30"/>
        <v>2020</v>
      </c>
      <c r="Z8" s="43">
        <f t="shared" si="30"/>
        <v>2020</v>
      </c>
      <c r="AA8" s="43">
        <f t="shared" si="30"/>
        <v>2020</v>
      </c>
      <c r="AB8" s="43">
        <f t="shared" si="30"/>
        <v>2020</v>
      </c>
      <c r="AC8" s="43">
        <f t="shared" si="30"/>
        <v>2020</v>
      </c>
      <c r="AD8" s="43">
        <f t="shared" si="30"/>
        <v>2020</v>
      </c>
      <c r="AE8" s="43">
        <f t="shared" si="30"/>
        <v>2020</v>
      </c>
      <c r="AF8" s="43">
        <f t="shared" si="30"/>
        <v>2020</v>
      </c>
      <c r="AG8" s="43">
        <f t="shared" ref="AG8:AL8" si="31">YEAR(AG7)</f>
        <v>2021</v>
      </c>
      <c r="AH8" s="43">
        <f t="shared" si="31"/>
        <v>2021</v>
      </c>
      <c r="AI8" s="43">
        <f t="shared" si="31"/>
        <v>2021</v>
      </c>
      <c r="AJ8" s="43">
        <f t="shared" si="31"/>
        <v>2021</v>
      </c>
      <c r="AK8" s="43">
        <f t="shared" si="31"/>
        <v>2021</v>
      </c>
      <c r="AL8" s="43">
        <f t="shared" si="31"/>
        <v>2021</v>
      </c>
      <c r="AM8" s="43">
        <f t="shared" ref="AM8:AN8" si="32">YEAR(AM7)</f>
        <v>2021</v>
      </c>
      <c r="AN8" s="43">
        <f t="shared" si="32"/>
        <v>2021</v>
      </c>
      <c r="AO8" s="43">
        <f t="shared" ref="AO8:AP8" si="33">YEAR(AO7)</f>
        <v>2021</v>
      </c>
      <c r="AP8" s="43">
        <f t="shared" si="33"/>
        <v>2021</v>
      </c>
      <c r="AQ8" s="43">
        <f t="shared" ref="AQ8" si="34">YEAR(AQ7)</f>
        <v>2021</v>
      </c>
      <c r="AR8" s="43">
        <f t="shared" ref="AR8" si="35">YEAR(AR7)</f>
        <v>2021</v>
      </c>
      <c r="AS8" s="43">
        <f t="shared" ref="AS8" si="36">YEAR(AS7)</f>
        <v>2022</v>
      </c>
      <c r="AT8" s="43">
        <f t="shared" ref="AT8" si="37">YEAR(AT7)</f>
        <v>2022</v>
      </c>
      <c r="AU8" s="43">
        <f t="shared" ref="AU8" si="38">YEAR(AU7)</f>
        <v>2022</v>
      </c>
      <c r="AV8" s="43">
        <f t="shared" ref="AV8" si="39">YEAR(AV7)</f>
        <v>2022</v>
      </c>
      <c r="AW8" s="43">
        <f t="shared" ref="AW8" si="40">YEAR(AW7)</f>
        <v>2022</v>
      </c>
      <c r="AX8" s="43">
        <f t="shared" ref="AX8" si="41">YEAR(AX7)</f>
        <v>2022</v>
      </c>
      <c r="AY8" s="43">
        <f t="shared" ref="AY8" si="42">YEAR(AY7)</f>
        <v>2022</v>
      </c>
      <c r="AZ8" s="43">
        <f t="shared" ref="AZ8" si="43">YEAR(AZ7)</f>
        <v>2022</v>
      </c>
      <c r="BA8" s="43">
        <f t="shared" ref="BA8:BB8" si="44">YEAR(BA7)</f>
        <v>2022</v>
      </c>
      <c r="BB8" s="43">
        <f t="shared" si="44"/>
        <v>2022</v>
      </c>
      <c r="BC8" s="43">
        <f t="shared" ref="BC8:BD8" si="45">YEAR(BC7)</f>
        <v>2022</v>
      </c>
      <c r="BD8" s="43">
        <f t="shared" si="45"/>
        <v>2022</v>
      </c>
      <c r="BE8" s="43">
        <f t="shared" ref="BE8:BF8" si="46">YEAR(BE7)</f>
        <v>2023</v>
      </c>
      <c r="BF8" s="43">
        <f t="shared" si="46"/>
        <v>2023</v>
      </c>
      <c r="BG8" s="43">
        <f t="shared" ref="BG8:BH8" si="47">YEAR(BG7)</f>
        <v>2023</v>
      </c>
      <c r="BH8" s="43">
        <f t="shared" si="47"/>
        <v>2023</v>
      </c>
      <c r="BI8" s="43">
        <f t="shared" ref="BI8:BJ8" si="48">YEAR(BI7)</f>
        <v>2023</v>
      </c>
      <c r="BJ8" s="43">
        <f t="shared" si="48"/>
        <v>2023</v>
      </c>
      <c r="BK8" s="43">
        <f t="shared" ref="BK8:BL8" si="49">YEAR(BK7)</f>
        <v>2023</v>
      </c>
      <c r="BL8" s="43">
        <f t="shared" si="49"/>
        <v>2023</v>
      </c>
      <c r="BM8" s="43">
        <f t="shared" ref="BM8:BN8" si="50">YEAR(BM7)</f>
        <v>2023</v>
      </c>
      <c r="BN8" s="43">
        <f t="shared" si="50"/>
        <v>2023</v>
      </c>
      <c r="BO8" s="43">
        <f t="shared" ref="BO8:BP8" si="51">YEAR(BO7)</f>
        <v>2023</v>
      </c>
      <c r="BP8" s="43">
        <f t="shared" si="51"/>
        <v>2023</v>
      </c>
      <c r="BQ8" s="43">
        <f t="shared" ref="BQ8:BR8" si="52">YEAR(BQ7)</f>
        <v>2024</v>
      </c>
      <c r="BR8" s="43">
        <f t="shared" si="52"/>
        <v>2024</v>
      </c>
      <c r="BS8" s="43">
        <f t="shared" ref="BS8:BT8" si="53">YEAR(BS7)</f>
        <v>2024</v>
      </c>
      <c r="BT8" s="43">
        <f t="shared" si="53"/>
        <v>2024</v>
      </c>
      <c r="BU8" s="43">
        <f t="shared" ref="BU8:BV8" si="54">YEAR(BU7)</f>
        <v>2024</v>
      </c>
      <c r="BV8" s="43">
        <f t="shared" si="54"/>
        <v>2024</v>
      </c>
      <c r="BW8" s="43">
        <f t="shared" ref="BW8:BX8" si="55">YEAR(BW7)</f>
        <v>2024</v>
      </c>
      <c r="BX8" s="43">
        <f t="shared" si="55"/>
        <v>2024</v>
      </c>
      <c r="BY8" s="43">
        <f t="shared" ref="BY8:BZ8" si="56">YEAR(BY7)</f>
        <v>2024</v>
      </c>
      <c r="BZ8" s="43">
        <f t="shared" si="56"/>
        <v>2024</v>
      </c>
      <c r="CA8" s="43">
        <f t="shared" ref="CA8:CB8" si="57">YEAR(CA7)</f>
        <v>2024</v>
      </c>
      <c r="CB8" s="43">
        <f t="shared" si="57"/>
        <v>2024</v>
      </c>
      <c r="CC8" s="43">
        <f t="shared" ref="CC8:CD8" si="58">YEAR(CC7)</f>
        <v>2025</v>
      </c>
      <c r="CD8" s="43">
        <f t="shared" si="58"/>
        <v>2025</v>
      </c>
      <c r="CE8" s="43">
        <f t="shared" ref="CE8:CF8" si="59">YEAR(CE7)</f>
        <v>2025</v>
      </c>
      <c r="CF8" s="43">
        <f t="shared" si="59"/>
        <v>2025</v>
      </c>
      <c r="CG8" s="43">
        <f t="shared" ref="CG8:CH8" si="60">YEAR(CG7)</f>
        <v>2025</v>
      </c>
      <c r="CH8" s="43">
        <f t="shared" si="60"/>
        <v>2025</v>
      </c>
      <c r="CI8" s="43">
        <f t="shared" ref="CI8:CJ8" si="61">YEAR(CI7)</f>
        <v>2025</v>
      </c>
      <c r="CJ8" s="43">
        <f t="shared" si="61"/>
        <v>2025</v>
      </c>
      <c r="CK8" s="43">
        <f t="shared" ref="CK8:CL8" si="62">YEAR(CK7)</f>
        <v>2025</v>
      </c>
      <c r="CL8" s="43">
        <f t="shared" si="62"/>
        <v>2025</v>
      </c>
      <c r="CM8" s="43">
        <f t="shared" ref="CM8:CN8" si="63">YEAR(CM7)</f>
        <v>2025</v>
      </c>
      <c r="CN8" s="43">
        <f t="shared" si="63"/>
        <v>2025</v>
      </c>
      <c r="CO8" s="43">
        <f t="shared" ref="CO8:CP8" si="64">YEAR(CO7)</f>
        <v>2026</v>
      </c>
      <c r="CP8" s="43">
        <f t="shared" si="64"/>
        <v>2026</v>
      </c>
      <c r="CQ8" s="43">
        <f t="shared" ref="CQ8:CR8" si="65">YEAR(CQ7)</f>
        <v>2026</v>
      </c>
      <c r="CR8" s="43">
        <f t="shared" si="65"/>
        <v>2026</v>
      </c>
      <c r="CT8" s="7"/>
      <c r="CV8" s="7"/>
    </row>
    <row r="9" spans="2:103" ht="5.0999999999999996" customHeight="1">
      <c r="B9" s="3"/>
      <c r="C9" s="6"/>
      <c r="D9" s="6"/>
      <c r="E9" s="6"/>
      <c r="F9" s="6"/>
      <c r="G9" s="21"/>
      <c r="H9" s="2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25"/>
      <c r="CT9" s="7"/>
      <c r="CU9" s="25"/>
      <c r="CV9" s="7"/>
      <c r="CW9" s="25"/>
    </row>
    <row r="10" spans="2:103" ht="18.75" customHeight="1">
      <c r="B10" s="26" t="s">
        <v>58</v>
      </c>
      <c r="C10" s="10"/>
      <c r="D10" s="10"/>
      <c r="E10" s="10"/>
      <c r="F10" s="10"/>
      <c r="G10" s="21"/>
      <c r="H10" s="21"/>
      <c r="I10" s="10"/>
      <c r="J10" s="10"/>
      <c r="K10" s="10"/>
      <c r="L10" s="10"/>
      <c r="M10" s="10"/>
      <c r="N10" s="10"/>
      <c r="O10" s="10"/>
      <c r="P10" s="10"/>
      <c r="Q10" s="10"/>
      <c r="R10" s="10"/>
      <c r="S10" s="10"/>
      <c r="T10" s="10"/>
      <c r="U10" s="10"/>
      <c r="V10" s="10"/>
      <c r="W10" s="10"/>
      <c r="X10" s="10"/>
      <c r="Y10" s="10"/>
      <c r="Z10" s="10"/>
      <c r="AA10" s="10"/>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25"/>
      <c r="CT10" s="10"/>
      <c r="CU10" s="25"/>
      <c r="CV10" s="10"/>
      <c r="CW10" s="25"/>
    </row>
    <row r="11" spans="2:103" customFormat="1" ht="18.75" customHeight="1">
      <c r="B11" s="64" t="s">
        <v>47</v>
      </c>
      <c r="C11" s="57"/>
      <c r="D11" s="57"/>
      <c r="E11" s="57"/>
      <c r="F11" s="57"/>
      <c r="G11" s="21"/>
      <c r="H11" s="21"/>
      <c r="I11" s="72">
        <v>461987.47642805998</v>
      </c>
      <c r="J11" s="72">
        <v>314905.34672797495</v>
      </c>
      <c r="K11" s="72">
        <v>310756.40129533497</v>
      </c>
      <c r="L11" s="72">
        <v>325434.99435315002</v>
      </c>
      <c r="M11" s="72">
        <v>304945.00614602998</v>
      </c>
      <c r="N11" s="72">
        <v>300976.14943995001</v>
      </c>
      <c r="O11" s="72">
        <v>318030.86170871992</v>
      </c>
      <c r="P11" s="72">
        <v>314105.58398423996</v>
      </c>
      <c r="Q11" s="72">
        <v>319923.88385530503</v>
      </c>
      <c r="R11" s="72">
        <v>326191.84311922494</v>
      </c>
      <c r="S11" s="72">
        <v>317330.41801087488</v>
      </c>
      <c r="T11" s="72">
        <v>345888.23048081994</v>
      </c>
      <c r="U11" s="72">
        <v>552400.67282416497</v>
      </c>
      <c r="V11" s="72">
        <v>369814.21622631</v>
      </c>
      <c r="W11" s="72">
        <v>318604.89452462998</v>
      </c>
      <c r="X11" s="72">
        <v>94616.024834159951</v>
      </c>
      <c r="Y11" s="72">
        <v>8252.3663934299948</v>
      </c>
      <c r="Z11" s="72">
        <v>6179.9700457950084</v>
      </c>
      <c r="AA11" s="72">
        <v>99723.538073759963</v>
      </c>
      <c r="AB11" s="72">
        <v>112805.95542458996</v>
      </c>
      <c r="AC11" s="72">
        <v>144194.70381613501</v>
      </c>
      <c r="AD11" s="72">
        <v>177318.84719695497</v>
      </c>
      <c r="AE11" s="72">
        <v>233843.35084202999</v>
      </c>
      <c r="AF11" s="72">
        <v>332673.67543221003</v>
      </c>
      <c r="AG11" s="72">
        <v>425098.4026291648</v>
      </c>
      <c r="AH11" s="72">
        <v>377494.4280862349</v>
      </c>
      <c r="AI11" s="72">
        <v>309823.26988907997</v>
      </c>
      <c r="AJ11" s="72">
        <v>235377.29915905502</v>
      </c>
      <c r="AK11" s="72">
        <v>294130.5316737449</v>
      </c>
      <c r="AL11" s="72">
        <v>315608.52826118987</v>
      </c>
      <c r="AM11" s="72">
        <v>320527.99041322502</v>
      </c>
      <c r="AN11" s="72">
        <v>342084.34781068494</v>
      </c>
      <c r="AO11" s="72">
        <v>310579.52085905999</v>
      </c>
      <c r="AP11" s="72">
        <v>302324.15487339004</v>
      </c>
      <c r="AQ11" s="72">
        <v>327503.65182224999</v>
      </c>
      <c r="AR11" s="72">
        <v>370699.29756064503</v>
      </c>
      <c r="AS11" s="72">
        <v>541586.55915188999</v>
      </c>
      <c r="AT11" s="72">
        <v>358423.26823216508</v>
      </c>
      <c r="AU11" s="72">
        <v>365878.03314466501</v>
      </c>
      <c r="AV11" s="72">
        <v>372550.55533744494</v>
      </c>
      <c r="AW11" s="72">
        <v>376235.49073369493</v>
      </c>
      <c r="AX11" s="72">
        <v>375971.21533813496</v>
      </c>
      <c r="AY11" s="72">
        <v>379636.50482011505</v>
      </c>
      <c r="AZ11" s="72">
        <v>407280.17386864498</v>
      </c>
      <c r="BA11" s="72">
        <v>395513.45973859495</v>
      </c>
      <c r="BB11" s="72">
        <v>405082.05640379997</v>
      </c>
      <c r="BC11" s="72">
        <v>421118.467240425</v>
      </c>
      <c r="BD11" s="72">
        <v>472383.68464561494</v>
      </c>
      <c r="BE11" s="72">
        <v>705870.71010522021</v>
      </c>
      <c r="BF11" s="72">
        <v>488870.32083589496</v>
      </c>
      <c r="BG11" s="72">
        <v>485747.87619248993</v>
      </c>
      <c r="BH11" s="72">
        <v>494490.42123480001</v>
      </c>
      <c r="BI11" s="72">
        <v>506772.11370853498</v>
      </c>
      <c r="BJ11" s="72">
        <v>498719.99485791009</v>
      </c>
      <c r="BK11" s="72">
        <v>488233.69275550504</v>
      </c>
      <c r="BL11" s="72">
        <v>511387.22336585989</v>
      </c>
      <c r="BM11" s="72">
        <v>491263.69123948476</v>
      </c>
      <c r="BN11" s="72">
        <v>514766.93963992497</v>
      </c>
      <c r="BO11" s="72">
        <v>508676.53289072996</v>
      </c>
      <c r="BP11" s="72">
        <v>599527.88906368485</v>
      </c>
      <c r="BQ11" s="72">
        <v>747713.33811983978</v>
      </c>
      <c r="BR11" s="72">
        <v>555692.30083696498</v>
      </c>
      <c r="BS11" s="72">
        <v>500870.99962340988</v>
      </c>
      <c r="BT11" s="72">
        <v>510617.04268568993</v>
      </c>
      <c r="BU11" s="72">
        <v>504552.54279211495</v>
      </c>
      <c r="BV11" s="72">
        <v>487600.40384383494</v>
      </c>
      <c r="BW11" s="72">
        <v>508908.38226970518</v>
      </c>
      <c r="BX11" s="72">
        <v>494763.67418355</v>
      </c>
      <c r="BY11" s="72">
        <v>540544.84816615493</v>
      </c>
      <c r="BZ11" s="72">
        <v>506593.54953887995</v>
      </c>
      <c r="CA11" s="72">
        <v>536199.23489276995</v>
      </c>
      <c r="CB11" s="72">
        <v>718994.25158267992</v>
      </c>
      <c r="CC11" s="72">
        <v>832970.3769455849</v>
      </c>
      <c r="CD11" s="72">
        <v>582639.50206226984</v>
      </c>
      <c r="CE11" s="72">
        <v>557977.18362970487</v>
      </c>
      <c r="CF11" s="72">
        <v>547271.16493297496</v>
      </c>
      <c r="CG11" s="72">
        <v>538636.41066228005</v>
      </c>
      <c r="CH11" s="72">
        <v>539988.03824483999</v>
      </c>
      <c r="CI11" s="72">
        <v>544293.93521908496</v>
      </c>
      <c r="CJ11" s="72">
        <v>522689.29429087514</v>
      </c>
      <c r="CK11" s="72">
        <v>565574.69446772989</v>
      </c>
      <c r="CL11" s="72">
        <v>534065.71477873484</v>
      </c>
      <c r="CM11" s="72">
        <v>544238.65499794483</v>
      </c>
      <c r="CN11" s="72">
        <v>641690.98530679476</v>
      </c>
      <c r="CO11" s="72">
        <v>837931.51149877487</v>
      </c>
      <c r="CP11" s="72">
        <v>595219.71055996476</v>
      </c>
      <c r="CQ11" s="72">
        <v>578904.85762150504</v>
      </c>
      <c r="CR11" s="72">
        <v>561146.78695676988</v>
      </c>
      <c r="CT11" s="72">
        <f>SUMIFS($H11:$CS11,$H$8:$CS$8,$CT$7)</f>
        <v>2573202.8666370143</v>
      </c>
      <c r="CV11" s="72">
        <f ca="1">SUM(OFFSET($B11,0,COLUMN($CC$7)-2,1,MONTH(MAX($H$7:$CS$7))))</f>
        <v>2520858.2275705347</v>
      </c>
    </row>
    <row r="12" spans="2:103" customFormat="1" ht="18.75" customHeight="1">
      <c r="B12" s="65" t="s">
        <v>48</v>
      </c>
      <c r="C12" s="58"/>
      <c r="D12" s="58"/>
      <c r="E12" s="58"/>
      <c r="F12" s="58"/>
      <c r="G12" s="21"/>
      <c r="H12" s="21"/>
      <c r="I12" s="72">
        <v>150414.47505518998</v>
      </c>
      <c r="J12" s="72">
        <v>105735.57693842999</v>
      </c>
      <c r="K12" s="72">
        <v>51212.466321374995</v>
      </c>
      <c r="L12" s="72">
        <v>56398.899257279998</v>
      </c>
      <c r="M12" s="72">
        <v>66742.536791024992</v>
      </c>
      <c r="N12" s="72">
        <v>53332.820772299994</v>
      </c>
      <c r="O12" s="72">
        <v>41625.323828205001</v>
      </c>
      <c r="P12" s="72">
        <v>85120.787300399985</v>
      </c>
      <c r="Q12" s="72">
        <v>42863.462121344994</v>
      </c>
      <c r="R12" s="72">
        <v>31103.564281679999</v>
      </c>
      <c r="S12" s="72">
        <v>58209.881848649988</v>
      </c>
      <c r="T12" s="72">
        <v>68301.302489130001</v>
      </c>
      <c r="U12" s="72">
        <v>145918.30205998497</v>
      </c>
      <c r="V12" s="72">
        <v>118191.01584050999</v>
      </c>
      <c r="W12" s="72">
        <v>64677.480247514992</v>
      </c>
      <c r="X12" s="72">
        <v>16664.018916764999</v>
      </c>
      <c r="Y12" s="72">
        <v>33716.272793309996</v>
      </c>
      <c r="Z12" s="72">
        <v>142611.40371734998</v>
      </c>
      <c r="AA12" s="72">
        <v>55927.432687349996</v>
      </c>
      <c r="AB12" s="72">
        <v>39502.765667414998</v>
      </c>
      <c r="AC12" s="72">
        <v>43192.766412824996</v>
      </c>
      <c r="AD12" s="72">
        <v>46907.959488344997</v>
      </c>
      <c r="AE12" s="72">
        <v>53899.241415449993</v>
      </c>
      <c r="AF12" s="72">
        <v>42839.847406964996</v>
      </c>
      <c r="AG12" s="72">
        <v>95835.893205225002</v>
      </c>
      <c r="AH12" s="72">
        <v>30318.866706989997</v>
      </c>
      <c r="AI12" s="72">
        <v>19803.86685477</v>
      </c>
      <c r="AJ12" s="72">
        <v>24819.149707499997</v>
      </c>
      <c r="AK12" s="72">
        <v>20009.844750674998</v>
      </c>
      <c r="AL12" s="72">
        <v>40036.785054764994</v>
      </c>
      <c r="AM12" s="72">
        <v>45331.224534839996</v>
      </c>
      <c r="AN12" s="72">
        <v>63306.376538924997</v>
      </c>
      <c r="AO12" s="72">
        <v>46339.603966709998</v>
      </c>
      <c r="AP12" s="72">
        <v>46563.17970624</v>
      </c>
      <c r="AQ12" s="72">
        <v>86892.619553429991</v>
      </c>
      <c r="AR12" s="72">
        <v>85022.034215309992</v>
      </c>
      <c r="AS12" s="72">
        <v>196390.28649416997</v>
      </c>
      <c r="AT12" s="72">
        <v>101110.31182199999</v>
      </c>
      <c r="AU12" s="72">
        <v>55007.827744214992</v>
      </c>
      <c r="AV12" s="72">
        <v>75792.483441854987</v>
      </c>
      <c r="AW12" s="72">
        <v>71011.136948549989</v>
      </c>
      <c r="AX12" s="72">
        <v>52407.248479979993</v>
      </c>
      <c r="AY12" s="72">
        <v>44633.023456664996</v>
      </c>
      <c r="AZ12" s="72">
        <v>64925.187140654991</v>
      </c>
      <c r="BA12" s="72">
        <v>35999.673476204996</v>
      </c>
      <c r="BB12" s="72">
        <v>35089.700478434992</v>
      </c>
      <c r="BC12" s="72">
        <v>46181.771648609996</v>
      </c>
      <c r="BD12" s="72">
        <v>50990.319632865001</v>
      </c>
      <c r="BE12" s="72">
        <v>154645.95172148998</v>
      </c>
      <c r="BF12" s="72">
        <v>106450.77098962499</v>
      </c>
      <c r="BG12" s="72">
        <v>57464.235569159995</v>
      </c>
      <c r="BH12" s="72">
        <v>51249.087522389993</v>
      </c>
      <c r="BI12" s="72">
        <v>61170.741146399989</v>
      </c>
      <c r="BJ12" s="72">
        <v>57860.362144844999</v>
      </c>
      <c r="BK12" s="72">
        <v>49963.843604414993</v>
      </c>
      <c r="BL12" s="72">
        <v>90895.490503589986</v>
      </c>
      <c r="BM12" s="72">
        <v>41059.161404669998</v>
      </c>
      <c r="BN12" s="72">
        <v>44389.861936199995</v>
      </c>
      <c r="BO12" s="72">
        <v>63304.710491819998</v>
      </c>
      <c r="BP12" s="72">
        <v>60542.60955252</v>
      </c>
      <c r="BQ12" s="72">
        <v>153142.03116215998</v>
      </c>
      <c r="BR12" s="72">
        <v>113482.70305118999</v>
      </c>
      <c r="BS12" s="72">
        <v>55277.617720319999</v>
      </c>
      <c r="BT12" s="72">
        <v>58849.230078134991</v>
      </c>
      <c r="BU12" s="72">
        <v>37617.200054369998</v>
      </c>
      <c r="BV12" s="72">
        <v>54173.049713234999</v>
      </c>
      <c r="BW12" s="72">
        <v>81954.257847929985</v>
      </c>
      <c r="BX12" s="72">
        <v>118438.669674825</v>
      </c>
      <c r="BY12" s="72">
        <v>59166.974620275003</v>
      </c>
      <c r="BZ12" s="72">
        <v>40545.502457099996</v>
      </c>
      <c r="CA12" s="72">
        <v>50721.074394029994</v>
      </c>
      <c r="CB12" s="72">
        <v>93092.94650174999</v>
      </c>
      <c r="CC12" s="72">
        <v>217943.43560134497</v>
      </c>
      <c r="CD12" s="72">
        <v>387465.03378218994</v>
      </c>
      <c r="CE12" s="72">
        <v>328454.837378025</v>
      </c>
      <c r="CF12" s="72">
        <v>165789.11146562998</v>
      </c>
      <c r="CG12" s="72">
        <v>83682.914366429992</v>
      </c>
      <c r="CH12" s="72">
        <v>80688.228299114984</v>
      </c>
      <c r="CI12" s="72">
        <v>74983.382344919999</v>
      </c>
      <c r="CJ12" s="72">
        <v>70531.481633294999</v>
      </c>
      <c r="CK12" s="72">
        <v>62136.429447675</v>
      </c>
      <c r="CL12" s="72">
        <v>46936.597104824992</v>
      </c>
      <c r="CM12" s="72">
        <v>64119.895667354991</v>
      </c>
      <c r="CN12" s="72">
        <v>82720.69611230999</v>
      </c>
      <c r="CO12" s="72">
        <v>188546.74895913</v>
      </c>
      <c r="CP12" s="72">
        <v>203706.00191261998</v>
      </c>
      <c r="CQ12" s="72">
        <v>121260.43349420998</v>
      </c>
      <c r="CR12" s="72">
        <v>84207.23106331499</v>
      </c>
      <c r="CT12" s="73">
        <f t="shared" ref="CT12:CT26" si="66">SUMIFS($H12:$CS12,$H$8:$CS$8,$CT$7)</f>
        <v>597720.4154292749</v>
      </c>
      <c r="CV12" s="73">
        <f t="shared" ref="CV12:CV26" ca="1" si="67">SUM(OFFSET($B12,0,COLUMN($CC$7)-2,1,MONTH(MAX($H$7:$CS$7))))</f>
        <v>1099652.4182271899</v>
      </c>
    </row>
    <row r="13" spans="2:103" customFormat="1" ht="18.75" customHeight="1">
      <c r="B13" s="65" t="s">
        <v>67</v>
      </c>
      <c r="C13" s="58"/>
      <c r="D13" s="58"/>
      <c r="E13" s="58"/>
      <c r="F13" s="58"/>
      <c r="G13" s="21"/>
      <c r="H13" s="21"/>
      <c r="I13" s="72">
        <v>64689.018773324991</v>
      </c>
      <c r="J13" s="72">
        <v>71247.376060979994</v>
      </c>
      <c r="K13" s="72">
        <v>46595.428860074993</v>
      </c>
      <c r="L13" s="72">
        <v>52485.807376274992</v>
      </c>
      <c r="M13" s="72">
        <v>49134.972789284999</v>
      </c>
      <c r="N13" s="72">
        <v>59249.604897074991</v>
      </c>
      <c r="O13" s="72">
        <v>63434.598495419996</v>
      </c>
      <c r="P13" s="72">
        <v>58542.051316679994</v>
      </c>
      <c r="Q13" s="72">
        <v>52347.083309684996</v>
      </c>
      <c r="R13" s="72">
        <v>55872.764411324992</v>
      </c>
      <c r="S13" s="72">
        <v>59707.162980344998</v>
      </c>
      <c r="T13" s="72">
        <v>73425.585854684992</v>
      </c>
      <c r="U13" s="72">
        <v>80129.349083624998</v>
      </c>
      <c r="V13" s="72">
        <v>84807.008021114991</v>
      </c>
      <c r="W13" s="72">
        <v>82604.069277704999</v>
      </c>
      <c r="X13" s="72">
        <v>16971.27549783</v>
      </c>
      <c r="Y13" s="72">
        <v>18595.331848724996</v>
      </c>
      <c r="Z13" s="72">
        <v>17239.583364089998</v>
      </c>
      <c r="AA13" s="72">
        <v>18307.190593679999</v>
      </c>
      <c r="AB13" s="72">
        <v>19829.094557429999</v>
      </c>
      <c r="AC13" s="72">
        <v>23970.151911419998</v>
      </c>
      <c r="AD13" s="72">
        <v>29660.774563259998</v>
      </c>
      <c r="AE13" s="72">
        <v>37949.553459659997</v>
      </c>
      <c r="AF13" s="72">
        <v>66431.884445160002</v>
      </c>
      <c r="AG13" s="72">
        <v>71018.925984059999</v>
      </c>
      <c r="AH13" s="72">
        <v>71953.302504074993</v>
      </c>
      <c r="AI13" s="72">
        <v>52265.280750554994</v>
      </c>
      <c r="AJ13" s="72">
        <v>40373.485746449995</v>
      </c>
      <c r="AK13" s="72">
        <v>47827.231929509995</v>
      </c>
      <c r="AL13" s="72">
        <v>74945.74595171999</v>
      </c>
      <c r="AM13" s="72">
        <v>63044.304853229994</v>
      </c>
      <c r="AN13" s="72">
        <v>76967.456972460001</v>
      </c>
      <c r="AO13" s="72">
        <v>69264.634978574992</v>
      </c>
      <c r="AP13" s="72">
        <v>82113.292832729989</v>
      </c>
      <c r="AQ13" s="72">
        <v>77905.781069054981</v>
      </c>
      <c r="AR13" s="72">
        <v>109002.115201515</v>
      </c>
      <c r="AS13" s="72">
        <v>98887.819132949997</v>
      </c>
      <c r="AT13" s="72">
        <v>82287.053410094988</v>
      </c>
      <c r="AU13" s="72">
        <v>86362.767052469993</v>
      </c>
      <c r="AV13" s="72">
        <v>69172.984701524983</v>
      </c>
      <c r="AW13" s="72">
        <v>90009.089773139989</v>
      </c>
      <c r="AX13" s="72">
        <v>98716.021732109977</v>
      </c>
      <c r="AY13" s="72">
        <v>82840.315464644998</v>
      </c>
      <c r="AZ13" s="72">
        <v>90677.528387744984</v>
      </c>
      <c r="BA13" s="72">
        <v>86462.170992479994</v>
      </c>
      <c r="BB13" s="72">
        <v>97605.755207219991</v>
      </c>
      <c r="BC13" s="72">
        <v>91869.052734494995</v>
      </c>
      <c r="BD13" s="72">
        <v>126771.890643045</v>
      </c>
      <c r="BE13" s="72">
        <v>119695.229992005</v>
      </c>
      <c r="BF13" s="72">
        <v>102499.706676195</v>
      </c>
      <c r="BG13" s="72">
        <v>101419.26982271999</v>
      </c>
      <c r="BH13" s="72">
        <v>103764.23289163499</v>
      </c>
      <c r="BI13" s="72">
        <v>99265.509535574995</v>
      </c>
      <c r="BJ13" s="72">
        <v>104126.752007565</v>
      </c>
      <c r="BK13" s="72">
        <v>82889.992673864996</v>
      </c>
      <c r="BL13" s="72">
        <v>101417.49058345499</v>
      </c>
      <c r="BM13" s="72">
        <v>97020.127269420002</v>
      </c>
      <c r="BN13" s="72">
        <v>95511.385431524992</v>
      </c>
      <c r="BO13" s="72">
        <v>95685.245052030019</v>
      </c>
      <c r="BP13" s="72">
        <v>121749.57219011999</v>
      </c>
      <c r="BQ13" s="72">
        <v>146040.83257318498</v>
      </c>
      <c r="BR13" s="72">
        <v>129403.38197872501</v>
      </c>
      <c r="BS13" s="72">
        <v>108598.52855503499</v>
      </c>
      <c r="BT13" s="72">
        <v>124853.90608792499</v>
      </c>
      <c r="BU13" s="72">
        <v>114791.69256198</v>
      </c>
      <c r="BV13" s="72">
        <v>120694.30290596999</v>
      </c>
      <c r="BW13" s="72">
        <v>93075.652862054994</v>
      </c>
      <c r="BX13" s="72">
        <v>119595.60674218499</v>
      </c>
      <c r="BY13" s="72">
        <v>126247.16008732497</v>
      </c>
      <c r="BZ13" s="72">
        <v>103639.95497446501</v>
      </c>
      <c r="CA13" s="72">
        <v>109547.821679385</v>
      </c>
      <c r="CB13" s="72">
        <v>135223.93154396999</v>
      </c>
      <c r="CC13" s="72">
        <v>162779.49110770499</v>
      </c>
      <c r="CD13" s="72">
        <v>149732.17747549497</v>
      </c>
      <c r="CE13" s="72">
        <v>149901.364382145</v>
      </c>
      <c r="CF13" s="72">
        <v>153976.17956174997</v>
      </c>
      <c r="CG13" s="72">
        <v>134051.06621734498</v>
      </c>
      <c r="CH13" s="72">
        <v>147375.30093173997</v>
      </c>
      <c r="CI13" s="72">
        <v>133997.62183154997</v>
      </c>
      <c r="CJ13" s="72">
        <v>122984.72857729498</v>
      </c>
      <c r="CK13" s="72">
        <v>149461.71895819498</v>
      </c>
      <c r="CL13" s="72">
        <v>128624.41121988</v>
      </c>
      <c r="CM13" s="72">
        <v>122028.41046451499</v>
      </c>
      <c r="CN13" s="72">
        <v>190472.66757721495</v>
      </c>
      <c r="CO13" s="72">
        <v>174998.01881890499</v>
      </c>
      <c r="CP13" s="72">
        <v>175304.51489014499</v>
      </c>
      <c r="CQ13" s="72">
        <v>141496.33360016998</v>
      </c>
      <c r="CR13" s="72">
        <v>160739.832055095</v>
      </c>
      <c r="CT13" s="73">
        <f t="shared" si="66"/>
        <v>652538.69936431502</v>
      </c>
      <c r="CV13" s="73">
        <f t="shared" ca="1" si="67"/>
        <v>616389.21252709487</v>
      </c>
    </row>
    <row r="14" spans="2:103" customFormat="1" ht="18.75" customHeight="1">
      <c r="B14" s="65" t="s">
        <v>21</v>
      </c>
      <c r="C14" s="58"/>
      <c r="D14" s="58"/>
      <c r="E14" s="58"/>
      <c r="F14" s="58"/>
      <c r="G14" s="21"/>
      <c r="H14" s="21"/>
      <c r="I14" s="72">
        <v>53750.308830929993</v>
      </c>
      <c r="J14" s="72">
        <v>28604.875647720004</v>
      </c>
      <c r="K14" s="72">
        <v>43626.359593469999</v>
      </c>
      <c r="L14" s="72">
        <v>36303.488308155</v>
      </c>
      <c r="M14" s="72">
        <v>32347.079202420002</v>
      </c>
      <c r="N14" s="72">
        <v>25399.638013784999</v>
      </c>
      <c r="O14" s="72">
        <v>43018.365592304996</v>
      </c>
      <c r="P14" s="72">
        <v>21381.609925949997</v>
      </c>
      <c r="Q14" s="72">
        <v>23474.522352584991</v>
      </c>
      <c r="R14" s="72">
        <v>19665.733509764999</v>
      </c>
      <c r="S14" s="72">
        <v>11331.359396415</v>
      </c>
      <c r="T14" s="72">
        <v>21048.672873584997</v>
      </c>
      <c r="U14" s="72">
        <v>11998.195634505</v>
      </c>
      <c r="V14" s="72">
        <v>17757.154515689999</v>
      </c>
      <c r="W14" s="72">
        <v>19972.056255509997</v>
      </c>
      <c r="X14" s="72">
        <v>20857.197723179997</v>
      </c>
      <c r="Y14" s="72">
        <v>47894.510519609998</v>
      </c>
      <c r="Z14" s="72">
        <v>39315.634266149995</v>
      </c>
      <c r="AA14" s="72">
        <v>30664.831469519995</v>
      </c>
      <c r="AB14" s="72">
        <v>12641.470217039998</v>
      </c>
      <c r="AC14" s="72">
        <v>11637.367326464999</v>
      </c>
      <c r="AD14" s="72">
        <v>11524.323731175</v>
      </c>
      <c r="AE14" s="72">
        <v>12185.489749499999</v>
      </c>
      <c r="AF14" s="72">
        <v>7624.5460779899995</v>
      </c>
      <c r="AG14" s="72">
        <v>3124.7438591550003</v>
      </c>
      <c r="AH14" s="72">
        <v>57374.898656879996</v>
      </c>
      <c r="AI14" s="72">
        <v>6623.8566384899996</v>
      </c>
      <c r="AJ14" s="72">
        <v>14985.004234935001</v>
      </c>
      <c r="AK14" s="72">
        <v>7784.1045765299996</v>
      </c>
      <c r="AL14" s="72">
        <v>17119.592599979998</v>
      </c>
      <c r="AM14" s="72">
        <v>52409.250566309995</v>
      </c>
      <c r="AN14" s="72">
        <v>8065.1607098099994</v>
      </c>
      <c r="AO14" s="72">
        <v>29829.094842435003</v>
      </c>
      <c r="AP14" s="72">
        <v>43314.815859344999</v>
      </c>
      <c r="AQ14" s="72">
        <v>13465.678930079997</v>
      </c>
      <c r="AR14" s="72">
        <v>11187.898945379999</v>
      </c>
      <c r="AS14" s="72">
        <v>64540.949279024993</v>
      </c>
      <c r="AT14" s="72">
        <v>57903.852695070003</v>
      </c>
      <c r="AU14" s="72">
        <v>55271.306347275262</v>
      </c>
      <c r="AV14" s="72">
        <v>50658.068383275153</v>
      </c>
      <c r="AW14" s="72">
        <v>69924.121270814881</v>
      </c>
      <c r="AX14" s="72">
        <v>49405.919447774992</v>
      </c>
      <c r="AY14" s="72">
        <v>42652.096986074997</v>
      </c>
      <c r="AZ14" s="72">
        <v>49175.799786494994</v>
      </c>
      <c r="BA14" s="72">
        <v>45551.492940944998</v>
      </c>
      <c r="BB14" s="72">
        <v>64044.587508404991</v>
      </c>
      <c r="BC14" s="72">
        <v>63016.901738745</v>
      </c>
      <c r="BD14" s="72">
        <v>43233.632319839991</v>
      </c>
      <c r="BE14" s="72">
        <v>1119.070752585</v>
      </c>
      <c r="BF14" s="72">
        <v>4585.7539780799998</v>
      </c>
      <c r="BG14" s="72">
        <v>4042.6756806749991</v>
      </c>
      <c r="BH14" s="72">
        <v>3647.3414501099996</v>
      </c>
      <c r="BI14" s="72">
        <v>9932.9657654999992</v>
      </c>
      <c r="BJ14" s="72">
        <v>6857.2058135849984</v>
      </c>
      <c r="BK14" s="72">
        <v>1384.4426971949999</v>
      </c>
      <c r="BL14" s="72">
        <v>6082.7238313349999</v>
      </c>
      <c r="BM14" s="72">
        <v>23310.754520594997</v>
      </c>
      <c r="BN14" s="72">
        <v>5547.3532125749998</v>
      </c>
      <c r="BO14" s="72">
        <v>6867.1172020949989</v>
      </c>
      <c r="BP14" s="72">
        <v>20812.055274869999</v>
      </c>
      <c r="BQ14" s="72">
        <v>4086.2263642349994</v>
      </c>
      <c r="BR14" s="72">
        <v>2798.6407834499996</v>
      </c>
      <c r="BS14" s="72">
        <v>20184.41889669</v>
      </c>
      <c r="BT14" s="72">
        <v>7121.1770052149996</v>
      </c>
      <c r="BU14" s="72">
        <v>24515.066044170002</v>
      </c>
      <c r="BV14" s="72">
        <v>15093.456473234999</v>
      </c>
      <c r="BW14" s="72">
        <v>12129.668328344997</v>
      </c>
      <c r="BX14" s="72">
        <v>12019.910842949999</v>
      </c>
      <c r="BY14" s="72">
        <v>8405.2890015899993</v>
      </c>
      <c r="BZ14" s="72">
        <v>45743.042373705001</v>
      </c>
      <c r="CA14" s="72">
        <v>11469.326490434998</v>
      </c>
      <c r="CB14" s="72">
        <v>57400.434100724997</v>
      </c>
      <c r="CC14" s="72">
        <v>4232.5661408400001</v>
      </c>
      <c r="CD14" s="72">
        <v>3156.6605110199994</v>
      </c>
      <c r="CE14" s="72">
        <v>4012.4533739549997</v>
      </c>
      <c r="CF14" s="72">
        <v>2677.0370310599997</v>
      </c>
      <c r="CG14" s="72">
        <v>10554.93546117</v>
      </c>
      <c r="CH14" s="72">
        <v>24980.926064924999</v>
      </c>
      <c r="CI14" s="72">
        <v>3214.1267557499996</v>
      </c>
      <c r="CJ14" s="72">
        <v>5109.4941023999991</v>
      </c>
      <c r="CK14" s="72">
        <v>21219.975058724998</v>
      </c>
      <c r="CL14" s="72">
        <v>5065.9504933499993</v>
      </c>
      <c r="CM14" s="72">
        <v>13238.307715935</v>
      </c>
      <c r="CN14" s="72">
        <v>525527.34363228001</v>
      </c>
      <c r="CO14" s="72">
        <v>9450.9121913549989</v>
      </c>
      <c r="CP14" s="72">
        <v>10514.69564829</v>
      </c>
      <c r="CQ14" s="72">
        <v>12581.280285959998</v>
      </c>
      <c r="CR14" s="72">
        <v>7841.6097310649984</v>
      </c>
      <c r="CT14" s="73">
        <f t="shared" si="66"/>
        <v>40388.497856669994</v>
      </c>
      <c r="CV14" s="73">
        <f t="shared" ca="1" si="67"/>
        <v>14078.717056874999</v>
      </c>
    </row>
    <row r="15" spans="2:103" customFormat="1" ht="18.75" customHeight="1">
      <c r="B15" s="66" t="s">
        <v>22</v>
      </c>
      <c r="C15" s="59"/>
      <c r="D15" s="59"/>
      <c r="E15" s="59"/>
      <c r="F15" s="59"/>
      <c r="G15" s="21"/>
      <c r="H15" s="21"/>
      <c r="I15" s="74">
        <f>SUM(I11:I14)</f>
        <v>730841.27908750495</v>
      </c>
      <c r="J15" s="74">
        <f t="shared" ref="J15:BU15" si="68">SUM(J11:J14)</f>
        <v>520493.17537510494</v>
      </c>
      <c r="K15" s="74">
        <f t="shared" si="68"/>
        <v>452190.65607025498</v>
      </c>
      <c r="L15" s="74">
        <f t="shared" si="68"/>
        <v>470623.18929486</v>
      </c>
      <c r="M15" s="74">
        <f t="shared" si="68"/>
        <v>453169.59492876002</v>
      </c>
      <c r="N15" s="74">
        <f t="shared" si="68"/>
        <v>438958.21312311001</v>
      </c>
      <c r="O15" s="74">
        <f t="shared" si="68"/>
        <v>466109.1496246499</v>
      </c>
      <c r="P15" s="74">
        <f t="shared" si="68"/>
        <v>479150.03252726991</v>
      </c>
      <c r="Q15" s="74">
        <f t="shared" si="68"/>
        <v>438608.95163892</v>
      </c>
      <c r="R15" s="74">
        <f t="shared" si="68"/>
        <v>432833.90532199491</v>
      </c>
      <c r="S15" s="74">
        <f t="shared" si="68"/>
        <v>446578.8222362849</v>
      </c>
      <c r="T15" s="74">
        <f t="shared" si="68"/>
        <v>508663.79169821995</v>
      </c>
      <c r="U15" s="74">
        <f t="shared" si="68"/>
        <v>790446.51960227999</v>
      </c>
      <c r="V15" s="74">
        <f t="shared" si="68"/>
        <v>590569.39460362506</v>
      </c>
      <c r="W15" s="74">
        <f t="shared" si="68"/>
        <v>485858.50030535995</v>
      </c>
      <c r="X15" s="74">
        <f t="shared" si="68"/>
        <v>149108.51697193494</v>
      </c>
      <c r="Y15" s="74">
        <f t="shared" si="68"/>
        <v>108458.48155507498</v>
      </c>
      <c r="Z15" s="74">
        <f t="shared" si="68"/>
        <v>205346.59139338497</v>
      </c>
      <c r="AA15" s="74">
        <f t="shared" si="68"/>
        <v>204622.99282430994</v>
      </c>
      <c r="AB15" s="74">
        <f t="shared" si="68"/>
        <v>184779.28586647497</v>
      </c>
      <c r="AC15" s="74">
        <f t="shared" si="68"/>
        <v>222994.989466845</v>
      </c>
      <c r="AD15" s="74">
        <f t="shared" si="68"/>
        <v>265411.90497973497</v>
      </c>
      <c r="AE15" s="74">
        <f t="shared" si="68"/>
        <v>337877.63546663994</v>
      </c>
      <c r="AF15" s="74">
        <f t="shared" si="68"/>
        <v>449569.95336232497</v>
      </c>
      <c r="AG15" s="74">
        <f t="shared" si="68"/>
        <v>595077.96567760478</v>
      </c>
      <c r="AH15" s="74">
        <f t="shared" si="68"/>
        <v>537141.4959541799</v>
      </c>
      <c r="AI15" s="74">
        <f t="shared" si="68"/>
        <v>388516.27413289493</v>
      </c>
      <c r="AJ15" s="74">
        <f t="shared" si="68"/>
        <v>315554.93884794001</v>
      </c>
      <c r="AK15" s="74">
        <f t="shared" si="68"/>
        <v>369751.71293045994</v>
      </c>
      <c r="AL15" s="74">
        <f t="shared" si="68"/>
        <v>447710.65186765487</v>
      </c>
      <c r="AM15" s="74">
        <f t="shared" si="68"/>
        <v>481312.77036760503</v>
      </c>
      <c r="AN15" s="74">
        <f t="shared" si="68"/>
        <v>490423.34203187993</v>
      </c>
      <c r="AO15" s="74">
        <f t="shared" si="68"/>
        <v>456012.85464677995</v>
      </c>
      <c r="AP15" s="74">
        <f t="shared" si="68"/>
        <v>474315.44327170507</v>
      </c>
      <c r="AQ15" s="74">
        <f t="shared" si="68"/>
        <v>505767.73137481493</v>
      </c>
      <c r="AR15" s="74">
        <f t="shared" si="68"/>
        <v>575911.34592285007</v>
      </c>
      <c r="AS15" s="74">
        <f t="shared" si="68"/>
        <v>901405.61405803496</v>
      </c>
      <c r="AT15" s="74">
        <f t="shared" si="68"/>
        <v>599724.48615933</v>
      </c>
      <c r="AU15" s="74">
        <f t="shared" si="68"/>
        <v>562519.93428862526</v>
      </c>
      <c r="AV15" s="74">
        <f t="shared" si="68"/>
        <v>568174.09186410008</v>
      </c>
      <c r="AW15" s="74">
        <f t="shared" si="68"/>
        <v>607179.83872619981</v>
      </c>
      <c r="AX15" s="74">
        <f t="shared" si="68"/>
        <v>576500.4049979999</v>
      </c>
      <c r="AY15" s="74">
        <f t="shared" si="68"/>
        <v>549761.94072750001</v>
      </c>
      <c r="AZ15" s="74">
        <f t="shared" si="68"/>
        <v>612058.68918354006</v>
      </c>
      <c r="BA15" s="74">
        <f t="shared" si="68"/>
        <v>563526.7971482249</v>
      </c>
      <c r="BB15" s="74">
        <f t="shared" si="68"/>
        <v>601822.09959785989</v>
      </c>
      <c r="BC15" s="74">
        <f t="shared" si="68"/>
        <v>622186.19336227502</v>
      </c>
      <c r="BD15" s="74">
        <f t="shared" si="68"/>
        <v>693379.52724136494</v>
      </c>
      <c r="BE15" s="74">
        <f t="shared" si="68"/>
        <v>981330.96257130022</v>
      </c>
      <c r="BF15" s="74">
        <f t="shared" si="68"/>
        <v>702406.55247979495</v>
      </c>
      <c r="BG15" s="74">
        <f t="shared" si="68"/>
        <v>648674.05726504489</v>
      </c>
      <c r="BH15" s="74">
        <f t="shared" si="68"/>
        <v>653151.08309893496</v>
      </c>
      <c r="BI15" s="74">
        <f t="shared" si="68"/>
        <v>677141.33015600988</v>
      </c>
      <c r="BJ15" s="74">
        <f t="shared" si="68"/>
        <v>667564.31482390501</v>
      </c>
      <c r="BK15" s="74">
        <f t="shared" si="68"/>
        <v>622471.97173097997</v>
      </c>
      <c r="BL15" s="74">
        <f t="shared" si="68"/>
        <v>709782.92828423984</v>
      </c>
      <c r="BM15" s="74">
        <f t="shared" si="68"/>
        <v>652653.73443416972</v>
      </c>
      <c r="BN15" s="74">
        <f t="shared" si="68"/>
        <v>660215.54022022488</v>
      </c>
      <c r="BO15" s="74">
        <f t="shared" si="68"/>
        <v>674533.60563667491</v>
      </c>
      <c r="BP15" s="74">
        <f t="shared" si="68"/>
        <v>802632.12608119485</v>
      </c>
      <c r="BQ15" s="74">
        <f t="shared" si="68"/>
        <v>1050982.4282194197</v>
      </c>
      <c r="BR15" s="74">
        <f t="shared" si="68"/>
        <v>801377.02665032994</v>
      </c>
      <c r="BS15" s="74">
        <f t="shared" si="68"/>
        <v>684931.56479545485</v>
      </c>
      <c r="BT15" s="74">
        <f t="shared" si="68"/>
        <v>701441.35585696483</v>
      </c>
      <c r="BU15" s="74">
        <f t="shared" si="68"/>
        <v>681476.50145263504</v>
      </c>
      <c r="BV15" s="74">
        <f t="shared" ref="BV15:CC15" si="69">SUM(BV11:BV14)</f>
        <v>677561.21293627494</v>
      </c>
      <c r="BW15" s="74">
        <f t="shared" si="69"/>
        <v>696067.96130803507</v>
      </c>
      <c r="BX15" s="74">
        <f t="shared" si="69"/>
        <v>744817.86144350993</v>
      </c>
      <c r="BY15" s="74">
        <f t="shared" si="69"/>
        <v>734364.2718753448</v>
      </c>
      <c r="BZ15" s="74">
        <f t="shared" si="69"/>
        <v>696522.04934414988</v>
      </c>
      <c r="CA15" s="74">
        <f t="shared" si="69"/>
        <v>707937.45745662006</v>
      </c>
      <c r="CB15" s="74">
        <f t="shared" si="69"/>
        <v>1004711.563729125</v>
      </c>
      <c r="CC15" s="74">
        <f t="shared" si="69"/>
        <v>1217925.8697954749</v>
      </c>
      <c r="CD15" s="74">
        <f t="shared" ref="CD15:CE15" si="70">SUM(CD11:CD14)</f>
        <v>1122993.3738309748</v>
      </c>
      <c r="CE15" s="74">
        <f t="shared" si="70"/>
        <v>1040345.8387638299</v>
      </c>
      <c r="CF15" s="74">
        <f t="shared" ref="CF15:CG15" si="71">SUM(CF11:CF14)</f>
        <v>869713.49299141497</v>
      </c>
      <c r="CG15" s="74">
        <f t="shared" si="71"/>
        <v>766925.32670722506</v>
      </c>
      <c r="CH15" s="74">
        <f t="shared" ref="CH15:CI15" si="72">SUM(CH11:CH14)</f>
        <v>793032.49354061997</v>
      </c>
      <c r="CI15" s="74">
        <f t="shared" si="72"/>
        <v>756489.06615130487</v>
      </c>
      <c r="CJ15" s="74">
        <f t="shared" ref="CJ15:CK15" si="73">SUM(CJ11:CJ14)</f>
        <v>721314.99860386516</v>
      </c>
      <c r="CK15" s="74">
        <f t="shared" si="73"/>
        <v>798392.81793232483</v>
      </c>
      <c r="CL15" s="74">
        <f t="shared" ref="CL15:CM15" si="74">SUM(CL11:CL14)</f>
        <v>714692.67359678983</v>
      </c>
      <c r="CM15" s="74">
        <f t="shared" si="74"/>
        <v>743625.2688457499</v>
      </c>
      <c r="CN15" s="74">
        <f t="shared" ref="CN15:CO15" si="75">SUM(CN11:CN14)</f>
        <v>1440411.6926285997</v>
      </c>
      <c r="CO15" s="74">
        <f t="shared" si="75"/>
        <v>1210927.1914681648</v>
      </c>
      <c r="CP15" s="74">
        <f t="shared" ref="CP15:CQ15" si="76">SUM(CP11:CP14)</f>
        <v>984744.92301101983</v>
      </c>
      <c r="CQ15" s="74">
        <f t="shared" si="76"/>
        <v>854242.90500184498</v>
      </c>
      <c r="CR15" s="74">
        <f t="shared" ref="CR15" si="77">SUM(CR11:CR14)</f>
        <v>813935.45980624482</v>
      </c>
      <c r="CT15" s="74">
        <f t="shared" si="66"/>
        <v>3863850.4792872742</v>
      </c>
      <c r="CV15" s="74">
        <f t="shared" ca="1" si="67"/>
        <v>4250978.5753816944</v>
      </c>
    </row>
    <row r="16" spans="2:103" customFormat="1" ht="18.75" customHeight="1">
      <c r="B16" s="67" t="s">
        <v>23</v>
      </c>
      <c r="C16" s="58"/>
      <c r="D16" s="58"/>
      <c r="E16" s="58"/>
      <c r="F16" s="58"/>
      <c r="G16" s="21"/>
      <c r="H16" s="21"/>
      <c r="I16" s="72">
        <v>-26555.025763455</v>
      </c>
      <c r="J16" s="72">
        <v>-33310.270201665</v>
      </c>
      <c r="K16" s="72">
        <v>-33527.659282199995</v>
      </c>
      <c r="L16" s="72">
        <v>-42703.818728684993</v>
      </c>
      <c r="M16" s="72">
        <v>-48438.575711159996</v>
      </c>
      <c r="N16" s="72">
        <v>-47998.442146019996</v>
      </c>
      <c r="O16" s="72">
        <v>-47002.853428229995</v>
      </c>
      <c r="P16" s="72">
        <v>-51691.88110328999</v>
      </c>
      <c r="Q16" s="72">
        <v>-45200.024209634998</v>
      </c>
      <c r="R16" s="72">
        <v>-45389.723658029994</v>
      </c>
      <c r="S16" s="72">
        <v>-39766.793455125</v>
      </c>
      <c r="T16" s="72">
        <v>-35979.525271725004</v>
      </c>
      <c r="U16" s="72">
        <v>-35064.939693434993</v>
      </c>
      <c r="V16" s="72">
        <v>-34893.400512209992</v>
      </c>
      <c r="W16" s="72">
        <v>-36757.572807015</v>
      </c>
      <c r="X16" s="72">
        <v>-72799.859594204987</v>
      </c>
      <c r="Y16" s="72">
        <v>-30049.939821104996</v>
      </c>
      <c r="Z16" s="72">
        <v>-39125.390080484998</v>
      </c>
      <c r="AA16" s="72">
        <v>-37893.583473794999</v>
      </c>
      <c r="AB16" s="72">
        <v>-44332.335558134997</v>
      </c>
      <c r="AC16" s="72">
        <v>-48346.957269404993</v>
      </c>
      <c r="AD16" s="72">
        <v>-43631.962605389999</v>
      </c>
      <c r="AE16" s="72">
        <v>-48825.696435614991</v>
      </c>
      <c r="AF16" s="72">
        <v>-51093.292663169996</v>
      </c>
      <c r="AG16" s="72">
        <v>-50769.76117184999</v>
      </c>
      <c r="AH16" s="72">
        <v>56666.308660769995</v>
      </c>
      <c r="AI16" s="72">
        <v>-48318.59909607</v>
      </c>
      <c r="AJ16" s="72">
        <v>-77426.953471469998</v>
      </c>
      <c r="AK16" s="72">
        <v>-71860.513230915007</v>
      </c>
      <c r="AL16" s="72">
        <v>-70690.346829854985</v>
      </c>
      <c r="AM16" s="72">
        <v>-73975.282356194992</v>
      </c>
      <c r="AN16" s="72">
        <v>-72997.040336924998</v>
      </c>
      <c r="AO16" s="72">
        <v>-72515.842778489983</v>
      </c>
      <c r="AP16" s="72">
        <v>-70090.032209295008</v>
      </c>
      <c r="AQ16" s="72">
        <v>-71427.227791454992</v>
      </c>
      <c r="AR16" s="72">
        <v>-65354.620509420005</v>
      </c>
      <c r="AS16" s="72">
        <v>-60597.737671695002</v>
      </c>
      <c r="AT16" s="72">
        <v>-61089.476250029991</v>
      </c>
      <c r="AU16" s="72">
        <v>-62842.794510389991</v>
      </c>
      <c r="AV16" s="72">
        <v>-57217.678283894995</v>
      </c>
      <c r="AW16" s="72">
        <v>-52149.145594394999</v>
      </c>
      <c r="AX16" s="72">
        <v>-40344.41304760499</v>
      </c>
      <c r="AY16" s="72">
        <v>-42737.468635499994</v>
      </c>
      <c r="AZ16" s="72">
        <v>-48156.228479805002</v>
      </c>
      <c r="BA16" s="72">
        <v>-51511.841898300001</v>
      </c>
      <c r="BB16" s="72">
        <v>-45905.144158589996</v>
      </c>
      <c r="BC16" s="72">
        <v>-42662.860853039994</v>
      </c>
      <c r="BD16" s="72">
        <v>-34564.403961914992</v>
      </c>
      <c r="BE16" s="72">
        <v>-30965.625485699995</v>
      </c>
      <c r="BF16" s="72">
        <v>-27670.654766924999</v>
      </c>
      <c r="BG16" s="72">
        <v>-34241.219121584996</v>
      </c>
      <c r="BH16" s="72">
        <v>-40209.795734069994</v>
      </c>
      <c r="BI16" s="72">
        <v>-34933.226466255001</v>
      </c>
      <c r="BJ16" s="72">
        <v>-34036.160911979998</v>
      </c>
      <c r="BK16" s="72">
        <v>-29925.435519615003</v>
      </c>
      <c r="BL16" s="72">
        <v>-26467.107290429998</v>
      </c>
      <c r="BM16" s="72">
        <v>-27349.800977639996</v>
      </c>
      <c r="BN16" s="72">
        <v>-30746.322750209998</v>
      </c>
      <c r="BO16" s="72">
        <v>-27468.168141704999</v>
      </c>
      <c r="BP16" s="72">
        <v>-31337.712876404996</v>
      </c>
      <c r="BQ16" s="72">
        <v>-47077.217140094996</v>
      </c>
      <c r="BR16" s="72">
        <v>-40368.211699244996</v>
      </c>
      <c r="BS16" s="72">
        <v>-44116.559465879996</v>
      </c>
      <c r="BT16" s="72">
        <v>-55528.065986084992</v>
      </c>
      <c r="BU16" s="72">
        <v>-52108.651099154995</v>
      </c>
      <c r="BV16" s="72">
        <v>-42949.049543324996</v>
      </c>
      <c r="BW16" s="72">
        <v>-40583.177760104991</v>
      </c>
      <c r="BX16" s="72">
        <v>-42559.764018809998</v>
      </c>
      <c r="BY16" s="72">
        <v>-36682.480420619999</v>
      </c>
      <c r="BZ16" s="72">
        <v>-47975.793102254996</v>
      </c>
      <c r="CA16" s="72">
        <v>-48262.554827849999</v>
      </c>
      <c r="CB16" s="72">
        <v>-38333.066184014999</v>
      </c>
      <c r="CC16" s="72">
        <v>-35399.567553690002</v>
      </c>
      <c r="CD16" s="72">
        <v>-34857.005695514999</v>
      </c>
      <c r="CE16" s="72">
        <v>-43026.851467050001</v>
      </c>
      <c r="CF16" s="72">
        <v>-50406.449710799985</v>
      </c>
      <c r="CG16" s="72">
        <v>-41314.038313694989</v>
      </c>
      <c r="CH16" s="72">
        <v>-54007.424822369991</v>
      </c>
      <c r="CI16" s="72">
        <v>-38982.506202015</v>
      </c>
      <c r="CJ16" s="72">
        <v>-38118.135495704999</v>
      </c>
      <c r="CK16" s="72">
        <v>-43885.187616329997</v>
      </c>
      <c r="CL16" s="72">
        <v>-35825.205447839995</v>
      </c>
      <c r="CM16" s="72">
        <v>-40775.271930135001</v>
      </c>
      <c r="CN16" s="72">
        <v>-41523.839982254998</v>
      </c>
      <c r="CO16" s="72">
        <v>-41033.491545134995</v>
      </c>
      <c r="CP16" s="72">
        <v>-41042.479710089996</v>
      </c>
      <c r="CQ16" s="72">
        <v>-38659.374420510001</v>
      </c>
      <c r="CR16" s="72">
        <v>-44755.023381614992</v>
      </c>
      <c r="CT16" s="73">
        <f t="shared" si="66"/>
        <v>-165490.36905734998</v>
      </c>
      <c r="CV16" s="73">
        <f t="shared" ca="1" si="67"/>
        <v>-163689.87442705498</v>
      </c>
    </row>
    <row r="17" spans="2:101" customFormat="1" ht="18.75" customHeight="1">
      <c r="B17" s="67" t="s">
        <v>24</v>
      </c>
      <c r="C17" s="58"/>
      <c r="D17" s="58"/>
      <c r="E17" s="58"/>
      <c r="F17" s="58"/>
      <c r="G17" s="21"/>
      <c r="H17" s="21"/>
      <c r="I17" s="72">
        <v>-13405.736606849992</v>
      </c>
      <c r="J17" s="72">
        <v>-39266.834296170011</v>
      </c>
      <c r="K17" s="72">
        <v>-37193.316638699995</v>
      </c>
      <c r="L17" s="72">
        <v>-35791.226576309993</v>
      </c>
      <c r="M17" s="72">
        <v>-24249.895723094989</v>
      </c>
      <c r="N17" s="72">
        <v>5885.2601082150077</v>
      </c>
      <c r="O17" s="72">
        <v>-13057.373585430005</v>
      </c>
      <c r="P17" s="72">
        <v>28505.871417524999</v>
      </c>
      <c r="Q17" s="72">
        <v>-24573.933041879995</v>
      </c>
      <c r="R17" s="72">
        <v>-4631.7347558249876</v>
      </c>
      <c r="S17" s="72">
        <v>-17216.789292869995</v>
      </c>
      <c r="T17" s="72">
        <v>-20029.816092404999</v>
      </c>
      <c r="U17" s="72">
        <v>9453.7419953550016</v>
      </c>
      <c r="V17" s="72">
        <v>-31073.769982815011</v>
      </c>
      <c r="W17" s="72">
        <v>-24554.333111924989</v>
      </c>
      <c r="X17" s="72">
        <v>-12638.113362044987</v>
      </c>
      <c r="Y17" s="72">
        <v>-13487.227887539999</v>
      </c>
      <c r="Z17" s="72">
        <v>-11887.656415755002</v>
      </c>
      <c r="AA17" s="72">
        <v>-12800.243444969999</v>
      </c>
      <c r="AB17" s="72">
        <v>-14499.714072465002</v>
      </c>
      <c r="AC17" s="72">
        <v>-9937.7870440650004</v>
      </c>
      <c r="AD17" s="72">
        <v>-16765.060605839997</v>
      </c>
      <c r="AE17" s="72">
        <v>-14949.122320215007</v>
      </c>
      <c r="AF17" s="72">
        <v>-7075.3094196299926</v>
      </c>
      <c r="AG17" s="72">
        <v>-62211.454626224986</v>
      </c>
      <c r="AH17" s="72">
        <v>-63441.757899539989</v>
      </c>
      <c r="AI17" s="72">
        <v>-63665.397309659973</v>
      </c>
      <c r="AJ17" s="72">
        <v>-84479.762412044976</v>
      </c>
      <c r="AK17" s="72">
        <v>-66411.393126944982</v>
      </c>
      <c r="AL17" s="72">
        <v>-55138.058861549995</v>
      </c>
      <c r="AM17" s="72">
        <v>-47858.982330390005</v>
      </c>
      <c r="AN17" s="72">
        <v>-45553.579921394979</v>
      </c>
      <c r="AO17" s="72">
        <v>-45385.468340265004</v>
      </c>
      <c r="AP17" s="72">
        <v>-19363.545815114991</v>
      </c>
      <c r="AQ17" s="72">
        <v>-19214.641528635006</v>
      </c>
      <c r="AR17" s="72">
        <v>-4624.9538379900032</v>
      </c>
      <c r="AS17" s="72">
        <v>-21916.258944689998</v>
      </c>
      <c r="AT17" s="72">
        <v>-30528.891222615013</v>
      </c>
      <c r="AU17" s="72">
        <v>-30762.873566354974</v>
      </c>
      <c r="AV17" s="72">
        <v>-18312.079080089996</v>
      </c>
      <c r="AW17" s="72">
        <v>-26903.480753504991</v>
      </c>
      <c r="AX17" s="72">
        <v>-5929.1928153150011</v>
      </c>
      <c r="AY17" s="72">
        <v>-24915.317059184996</v>
      </c>
      <c r="AZ17" s="72">
        <v>-19994.570883584991</v>
      </c>
      <c r="BA17" s="72">
        <v>-20920.259905320003</v>
      </c>
      <c r="BB17" s="72">
        <v>-13167.831447314989</v>
      </c>
      <c r="BC17" s="72">
        <v>-11416.716896819999</v>
      </c>
      <c r="BD17" s="72">
        <v>-24432.294277169996</v>
      </c>
      <c r="BE17" s="72">
        <v>-12783.211562145001</v>
      </c>
      <c r="BF17" s="72">
        <v>-42033.749439525003</v>
      </c>
      <c r="BG17" s="72">
        <v>-34286.814338534998</v>
      </c>
      <c r="BH17" s="72">
        <v>-23659.913424389993</v>
      </c>
      <c r="BI17" s="72">
        <v>-27958.608547454987</v>
      </c>
      <c r="BJ17" s="72">
        <v>-18086.416360109997</v>
      </c>
      <c r="BK17" s="72">
        <v>-20010.573425204999</v>
      </c>
      <c r="BL17" s="72">
        <v>-14139.713482095</v>
      </c>
      <c r="BM17" s="72">
        <v>-21044.502449939999</v>
      </c>
      <c r="BN17" s="72">
        <v>-15550.979183955005</v>
      </c>
      <c r="BO17" s="72">
        <v>-15537.155591414999</v>
      </c>
      <c r="BP17" s="72">
        <v>-42686.206736039989</v>
      </c>
      <c r="BQ17" s="72">
        <v>-106130.22140426998</v>
      </c>
      <c r="BR17" s="72">
        <v>-98692.75366871999</v>
      </c>
      <c r="BS17" s="72">
        <v>-77336.233492485</v>
      </c>
      <c r="BT17" s="72">
        <v>-79109.271949470014</v>
      </c>
      <c r="BU17" s="72">
        <v>-78388.015043205</v>
      </c>
      <c r="BV17" s="72">
        <v>-76971.974047094991</v>
      </c>
      <c r="BW17" s="72">
        <v>-91127.969513954973</v>
      </c>
      <c r="BX17" s="72">
        <v>-92158.810515075005</v>
      </c>
      <c r="BY17" s="72">
        <v>-84240.746554439975</v>
      </c>
      <c r="BZ17" s="72">
        <v>-73489.351950569995</v>
      </c>
      <c r="CA17" s="72">
        <v>-78498.175775669995</v>
      </c>
      <c r="CB17" s="72">
        <v>-5878.2386570399849</v>
      </c>
      <c r="CC17" s="72">
        <v>-99276.528084899968</v>
      </c>
      <c r="CD17" s="72">
        <v>-125093.02452592498</v>
      </c>
      <c r="CE17" s="72">
        <v>-159886.25351379003</v>
      </c>
      <c r="CF17" s="72">
        <v>-96825.008746364983</v>
      </c>
      <c r="CG17" s="72">
        <v>-97874.445097019998</v>
      </c>
      <c r="CH17" s="72">
        <v>-129142.20521854496</v>
      </c>
      <c r="CI17" s="72">
        <v>-95936.471513894969</v>
      </c>
      <c r="CJ17" s="72">
        <v>-104035.22553443999</v>
      </c>
      <c r="CK17" s="72">
        <v>-62336.836166954999</v>
      </c>
      <c r="CL17" s="72">
        <v>-95339.329811069983</v>
      </c>
      <c r="CM17" s="72">
        <v>-108042.00515137499</v>
      </c>
      <c r="CN17" s="72">
        <v>-71241.217700025009</v>
      </c>
      <c r="CO17" s="72">
        <v>-114146.61751664999</v>
      </c>
      <c r="CP17" s="72">
        <v>-124415.44564439998</v>
      </c>
      <c r="CQ17" s="72">
        <v>-113034.63188582998</v>
      </c>
      <c r="CR17" s="72">
        <v>-88264.405952235029</v>
      </c>
      <c r="CT17" s="73">
        <f t="shared" si="66"/>
        <v>-439861.10099911498</v>
      </c>
      <c r="CV17" s="73">
        <f t="shared" ca="1" si="67"/>
        <v>-481080.81487097993</v>
      </c>
    </row>
    <row r="18" spans="2:101" customFormat="1" ht="18.75" customHeight="1">
      <c r="B18" s="66" t="s">
        <v>3</v>
      </c>
      <c r="C18" s="59"/>
      <c r="D18" s="59"/>
      <c r="E18" s="59"/>
      <c r="F18" s="59"/>
      <c r="G18" s="21"/>
      <c r="H18" s="21"/>
      <c r="I18" s="74">
        <f>I17+I16</f>
        <v>-39960.76237030499</v>
      </c>
      <c r="J18" s="74">
        <f t="shared" ref="J18:BU18" si="78">J17+J16</f>
        <v>-72577.104497835011</v>
      </c>
      <c r="K18" s="74">
        <f t="shared" si="78"/>
        <v>-70720.975920899989</v>
      </c>
      <c r="L18" s="74">
        <f t="shared" si="78"/>
        <v>-78495.045304994987</v>
      </c>
      <c r="M18" s="74">
        <f t="shared" si="78"/>
        <v>-72688.471434254985</v>
      </c>
      <c r="N18" s="74">
        <f t="shared" si="78"/>
        <v>-42113.182037804989</v>
      </c>
      <c r="O18" s="74">
        <f t="shared" si="78"/>
        <v>-60060.227013659998</v>
      </c>
      <c r="P18" s="74">
        <f t="shared" si="78"/>
        <v>-23186.009685764991</v>
      </c>
      <c r="Q18" s="74">
        <f t="shared" si="78"/>
        <v>-69773.957251514992</v>
      </c>
      <c r="R18" s="74">
        <f t="shared" si="78"/>
        <v>-50021.458413854984</v>
      </c>
      <c r="S18" s="74">
        <f t="shared" si="78"/>
        <v>-56983.582747994995</v>
      </c>
      <c r="T18" s="74">
        <f t="shared" si="78"/>
        <v>-56009.341364129999</v>
      </c>
      <c r="U18" s="74">
        <f t="shared" si="78"/>
        <v>-25611.197698079992</v>
      </c>
      <c r="V18" s="74">
        <f t="shared" si="78"/>
        <v>-65967.170495024999</v>
      </c>
      <c r="W18" s="74">
        <f t="shared" si="78"/>
        <v>-61311.905918939985</v>
      </c>
      <c r="X18" s="74">
        <f t="shared" si="78"/>
        <v>-85437.972956249971</v>
      </c>
      <c r="Y18" s="74">
        <f t="shared" si="78"/>
        <v>-43537.167708644993</v>
      </c>
      <c r="Z18" s="74">
        <f t="shared" si="78"/>
        <v>-51013.04649624</v>
      </c>
      <c r="AA18" s="74">
        <f t="shared" si="78"/>
        <v>-50693.826918765</v>
      </c>
      <c r="AB18" s="74">
        <f t="shared" si="78"/>
        <v>-58832.049630599999</v>
      </c>
      <c r="AC18" s="74">
        <f t="shared" si="78"/>
        <v>-58284.744313469993</v>
      </c>
      <c r="AD18" s="74">
        <f t="shared" si="78"/>
        <v>-60397.02321123</v>
      </c>
      <c r="AE18" s="74">
        <f t="shared" si="78"/>
        <v>-63774.818755829998</v>
      </c>
      <c r="AF18" s="74">
        <f t="shared" si="78"/>
        <v>-58168.602082799989</v>
      </c>
      <c r="AG18" s="74">
        <f t="shared" si="78"/>
        <v>-112981.21579807498</v>
      </c>
      <c r="AH18" s="74">
        <f t="shared" si="78"/>
        <v>-6775.4492387699938</v>
      </c>
      <c r="AI18" s="74">
        <f t="shared" si="78"/>
        <v>-111983.99640572997</v>
      </c>
      <c r="AJ18" s="74">
        <f t="shared" si="78"/>
        <v>-161906.71588351496</v>
      </c>
      <c r="AK18" s="74">
        <f t="shared" si="78"/>
        <v>-138271.90635785999</v>
      </c>
      <c r="AL18" s="74">
        <f t="shared" si="78"/>
        <v>-125828.40569140497</v>
      </c>
      <c r="AM18" s="74">
        <f t="shared" si="78"/>
        <v>-121834.264686585</v>
      </c>
      <c r="AN18" s="74">
        <f t="shared" si="78"/>
        <v>-118550.62025831998</v>
      </c>
      <c r="AO18" s="74">
        <f t="shared" si="78"/>
        <v>-117901.31111875499</v>
      </c>
      <c r="AP18" s="74">
        <f t="shared" si="78"/>
        <v>-89453.578024410002</v>
      </c>
      <c r="AQ18" s="74">
        <f t="shared" si="78"/>
        <v>-90641.869320090002</v>
      </c>
      <c r="AR18" s="74">
        <f t="shared" si="78"/>
        <v>-69979.574347410002</v>
      </c>
      <c r="AS18" s="74">
        <f t="shared" si="78"/>
        <v>-82513.996616385004</v>
      </c>
      <c r="AT18" s="74">
        <f t="shared" si="78"/>
        <v>-91618.367472645012</v>
      </c>
      <c r="AU18" s="74">
        <f t="shared" si="78"/>
        <v>-93605.668076744972</v>
      </c>
      <c r="AV18" s="74">
        <f t="shared" si="78"/>
        <v>-75529.757363984987</v>
      </c>
      <c r="AW18" s="74">
        <f t="shared" si="78"/>
        <v>-79052.62634789999</v>
      </c>
      <c r="AX18" s="74">
        <f t="shared" si="78"/>
        <v>-46273.605862919991</v>
      </c>
      <c r="AY18" s="74">
        <f t="shared" si="78"/>
        <v>-67652.785694684993</v>
      </c>
      <c r="AZ18" s="74">
        <f t="shared" si="78"/>
        <v>-68150.79936338999</v>
      </c>
      <c r="BA18" s="74">
        <f t="shared" si="78"/>
        <v>-72432.101803619997</v>
      </c>
      <c r="BB18" s="74">
        <f t="shared" si="78"/>
        <v>-59072.975605904983</v>
      </c>
      <c r="BC18" s="74">
        <f t="shared" si="78"/>
        <v>-54079.577749859993</v>
      </c>
      <c r="BD18" s="74">
        <f t="shared" si="78"/>
        <v>-58996.698239084988</v>
      </c>
      <c r="BE18" s="74">
        <f t="shared" si="78"/>
        <v>-43748.837047844994</v>
      </c>
      <c r="BF18" s="74">
        <f t="shared" si="78"/>
        <v>-69704.40420645001</v>
      </c>
      <c r="BG18" s="74">
        <f t="shared" si="78"/>
        <v>-68528.033460120001</v>
      </c>
      <c r="BH18" s="74">
        <f t="shared" si="78"/>
        <v>-63869.709158459984</v>
      </c>
      <c r="BI18" s="74">
        <f t="shared" si="78"/>
        <v>-62891.835013709991</v>
      </c>
      <c r="BJ18" s="74">
        <f t="shared" si="78"/>
        <v>-52122.577272089999</v>
      </c>
      <c r="BK18" s="74">
        <f t="shared" si="78"/>
        <v>-49936.008944820001</v>
      </c>
      <c r="BL18" s="74">
        <f t="shared" si="78"/>
        <v>-40606.820772524996</v>
      </c>
      <c r="BM18" s="74">
        <f t="shared" si="78"/>
        <v>-48394.303427579995</v>
      </c>
      <c r="BN18" s="74">
        <f t="shared" si="78"/>
        <v>-46297.301934165007</v>
      </c>
      <c r="BO18" s="74">
        <f t="shared" si="78"/>
        <v>-43005.32373312</v>
      </c>
      <c r="BP18" s="74">
        <f t="shared" si="78"/>
        <v>-74023.919612444981</v>
      </c>
      <c r="BQ18" s="74">
        <f t="shared" si="78"/>
        <v>-153207.43854436497</v>
      </c>
      <c r="BR18" s="74">
        <f t="shared" si="78"/>
        <v>-139060.96536796499</v>
      </c>
      <c r="BS18" s="74">
        <f t="shared" si="78"/>
        <v>-121452.792958365</v>
      </c>
      <c r="BT18" s="74">
        <f t="shared" si="78"/>
        <v>-134637.337935555</v>
      </c>
      <c r="BU18" s="74">
        <f t="shared" si="78"/>
        <v>-130496.66614235999</v>
      </c>
      <c r="BV18" s="74">
        <f t="shared" ref="BV18:CC18" si="79">BV17+BV16</f>
        <v>-119921.02359041999</v>
      </c>
      <c r="BW18" s="74">
        <f t="shared" si="79"/>
        <v>-131711.14727405997</v>
      </c>
      <c r="BX18" s="74">
        <f t="shared" si="79"/>
        <v>-134718.574533885</v>
      </c>
      <c r="BY18" s="74">
        <f t="shared" si="79"/>
        <v>-120923.22697505998</v>
      </c>
      <c r="BZ18" s="74">
        <f t="shared" si="79"/>
        <v>-121465.14505282498</v>
      </c>
      <c r="CA18" s="74">
        <f t="shared" si="79"/>
        <v>-126760.73060352</v>
      </c>
      <c r="CB18" s="74">
        <f t="shared" si="79"/>
        <v>-44211.304841054982</v>
      </c>
      <c r="CC18" s="74">
        <f t="shared" si="79"/>
        <v>-134676.09563858996</v>
      </c>
      <c r="CD18" s="74">
        <f t="shared" ref="CD18:CE18" si="80">CD17+CD16</f>
        <v>-159950.03022143999</v>
      </c>
      <c r="CE18" s="74">
        <f t="shared" si="80"/>
        <v>-202913.10498084003</v>
      </c>
      <c r="CF18" s="74">
        <f t="shared" ref="CF18:CG18" si="81">CF17+CF16</f>
        <v>-147231.45845716496</v>
      </c>
      <c r="CG18" s="74">
        <f t="shared" si="81"/>
        <v>-139188.48341071498</v>
      </c>
      <c r="CH18" s="74">
        <f t="shared" ref="CH18:CI18" si="82">CH17+CH16</f>
        <v>-183149.63004091496</v>
      </c>
      <c r="CI18" s="74">
        <f t="shared" si="82"/>
        <v>-134918.97771590998</v>
      </c>
      <c r="CJ18" s="74">
        <f t="shared" ref="CJ18:CK18" si="83">CJ17+CJ16</f>
        <v>-142153.361030145</v>
      </c>
      <c r="CK18" s="74">
        <f t="shared" si="83"/>
        <v>-106222.023783285</v>
      </c>
      <c r="CL18" s="74">
        <f t="shared" ref="CL18:CM18" si="84">CL17+CL16</f>
        <v>-131164.53525890998</v>
      </c>
      <c r="CM18" s="74">
        <f t="shared" si="84"/>
        <v>-148817.27708150999</v>
      </c>
      <c r="CN18" s="74">
        <f t="shared" ref="CN18:CO18" si="85">CN17+CN16</f>
        <v>-112765.05768228001</v>
      </c>
      <c r="CO18" s="74">
        <f t="shared" si="85"/>
        <v>-155180.10906178498</v>
      </c>
      <c r="CP18" s="74">
        <f t="shared" ref="CP18:CQ18" si="86">CP17+CP16</f>
        <v>-165457.92535448997</v>
      </c>
      <c r="CQ18" s="74">
        <f t="shared" si="86"/>
        <v>-151694.00630633999</v>
      </c>
      <c r="CR18" s="74">
        <f t="shared" ref="CR18" si="87">CR17+CR16</f>
        <v>-133019.42933385001</v>
      </c>
      <c r="CT18" s="74">
        <f t="shared" si="66"/>
        <v>-605351.47005646501</v>
      </c>
      <c r="CV18" s="74">
        <f t="shared" ca="1" si="67"/>
        <v>-644770.68929803488</v>
      </c>
    </row>
    <row r="19" spans="2:101" customFormat="1" ht="18.75" customHeight="1">
      <c r="B19" s="68" t="s">
        <v>70</v>
      </c>
      <c r="C19" s="60"/>
      <c r="D19" s="60"/>
      <c r="E19" s="60"/>
      <c r="F19" s="60"/>
      <c r="G19" s="21"/>
      <c r="H19" s="21"/>
      <c r="I19" s="75">
        <f>I18+I15</f>
        <v>690880.51671719993</v>
      </c>
      <c r="J19" s="75">
        <f t="shared" ref="J19:BU19" si="88">J18+J15</f>
        <v>447916.07087726996</v>
      </c>
      <c r="K19" s="75">
        <f t="shared" si="88"/>
        <v>381469.68014935497</v>
      </c>
      <c r="L19" s="75">
        <f t="shared" si="88"/>
        <v>392128.14398986503</v>
      </c>
      <c r="M19" s="75">
        <f t="shared" si="88"/>
        <v>380481.12349450507</v>
      </c>
      <c r="N19" s="75">
        <f t="shared" si="88"/>
        <v>396845.03108530503</v>
      </c>
      <c r="O19" s="75">
        <f t="shared" si="88"/>
        <v>406048.92261098989</v>
      </c>
      <c r="P19" s="75">
        <f t="shared" si="88"/>
        <v>455964.02284150489</v>
      </c>
      <c r="Q19" s="75">
        <f t="shared" si="88"/>
        <v>368834.99438740499</v>
      </c>
      <c r="R19" s="75">
        <f t="shared" si="88"/>
        <v>382812.44690813991</v>
      </c>
      <c r="S19" s="75">
        <f t="shared" si="88"/>
        <v>389595.23948828992</v>
      </c>
      <c r="T19" s="75">
        <f t="shared" si="88"/>
        <v>452654.45033408992</v>
      </c>
      <c r="U19" s="75">
        <f t="shared" si="88"/>
        <v>764835.32190420001</v>
      </c>
      <c r="V19" s="75">
        <f t="shared" si="88"/>
        <v>524602.22410860006</v>
      </c>
      <c r="W19" s="75">
        <f t="shared" si="88"/>
        <v>424546.59438641998</v>
      </c>
      <c r="X19" s="75">
        <f t="shared" si="88"/>
        <v>63670.544015684965</v>
      </c>
      <c r="Y19" s="75">
        <f t="shared" si="88"/>
        <v>64921.313846429985</v>
      </c>
      <c r="Z19" s="75">
        <f t="shared" si="88"/>
        <v>154333.54489714495</v>
      </c>
      <c r="AA19" s="75">
        <f t="shared" si="88"/>
        <v>153929.16590554494</v>
      </c>
      <c r="AB19" s="75">
        <f t="shared" si="88"/>
        <v>125947.23623587497</v>
      </c>
      <c r="AC19" s="75">
        <f t="shared" si="88"/>
        <v>164710.245153375</v>
      </c>
      <c r="AD19" s="75">
        <f t="shared" si="88"/>
        <v>205014.88176850497</v>
      </c>
      <c r="AE19" s="75">
        <f t="shared" si="88"/>
        <v>274102.81671080994</v>
      </c>
      <c r="AF19" s="75">
        <f t="shared" si="88"/>
        <v>391401.35127952497</v>
      </c>
      <c r="AG19" s="75">
        <f t="shared" si="88"/>
        <v>482096.74987952982</v>
      </c>
      <c r="AH19" s="75">
        <f t="shared" si="88"/>
        <v>530366.04671540996</v>
      </c>
      <c r="AI19" s="75">
        <f t="shared" si="88"/>
        <v>276532.27772716497</v>
      </c>
      <c r="AJ19" s="75">
        <f t="shared" si="88"/>
        <v>153648.22296442505</v>
      </c>
      <c r="AK19" s="75">
        <f t="shared" si="88"/>
        <v>231479.80657259995</v>
      </c>
      <c r="AL19" s="75">
        <f t="shared" si="88"/>
        <v>321882.24617624993</v>
      </c>
      <c r="AM19" s="75">
        <f t="shared" si="88"/>
        <v>359478.50568102003</v>
      </c>
      <c r="AN19" s="75">
        <f t="shared" si="88"/>
        <v>371872.72177355993</v>
      </c>
      <c r="AO19" s="75">
        <f t="shared" si="88"/>
        <v>338111.54352802492</v>
      </c>
      <c r="AP19" s="75">
        <f t="shared" si="88"/>
        <v>384861.86524729506</v>
      </c>
      <c r="AQ19" s="75">
        <f t="shared" si="88"/>
        <v>415125.86205472494</v>
      </c>
      <c r="AR19" s="75">
        <f t="shared" si="88"/>
        <v>505931.77157544007</v>
      </c>
      <c r="AS19" s="75">
        <f t="shared" si="88"/>
        <v>818891.61744165001</v>
      </c>
      <c r="AT19" s="75">
        <f t="shared" si="88"/>
        <v>508106.11868668499</v>
      </c>
      <c r="AU19" s="75">
        <f t="shared" si="88"/>
        <v>468914.26621188025</v>
      </c>
      <c r="AV19" s="75">
        <f t="shared" si="88"/>
        <v>492644.33450011507</v>
      </c>
      <c r="AW19" s="75">
        <f t="shared" si="88"/>
        <v>528127.2123782998</v>
      </c>
      <c r="AX19" s="75">
        <f t="shared" si="88"/>
        <v>530226.79913507996</v>
      </c>
      <c r="AY19" s="75">
        <f t="shared" si="88"/>
        <v>482109.155032815</v>
      </c>
      <c r="AZ19" s="75">
        <f t="shared" si="88"/>
        <v>543907.8898201501</v>
      </c>
      <c r="BA19" s="75">
        <f t="shared" si="88"/>
        <v>491094.6953446049</v>
      </c>
      <c r="BB19" s="75">
        <f t="shared" si="88"/>
        <v>542749.12399195496</v>
      </c>
      <c r="BC19" s="75">
        <f t="shared" si="88"/>
        <v>568106.61561241501</v>
      </c>
      <c r="BD19" s="75">
        <f t="shared" si="88"/>
        <v>634382.8290022799</v>
      </c>
      <c r="BE19" s="75">
        <f t="shared" si="88"/>
        <v>937582.12552345521</v>
      </c>
      <c r="BF19" s="75">
        <f t="shared" si="88"/>
        <v>632702.14827334497</v>
      </c>
      <c r="BG19" s="75">
        <f t="shared" si="88"/>
        <v>580146.02380492492</v>
      </c>
      <c r="BH19" s="75">
        <f t="shared" si="88"/>
        <v>589281.37394047494</v>
      </c>
      <c r="BI19" s="75">
        <f t="shared" si="88"/>
        <v>614249.49514229991</v>
      </c>
      <c r="BJ19" s="75">
        <f t="shared" si="88"/>
        <v>615441.73755181499</v>
      </c>
      <c r="BK19" s="75">
        <f t="shared" si="88"/>
        <v>572535.96278615994</v>
      </c>
      <c r="BL19" s="75">
        <f t="shared" si="88"/>
        <v>669176.1075117148</v>
      </c>
      <c r="BM19" s="75">
        <f t="shared" si="88"/>
        <v>604259.43100658967</v>
      </c>
      <c r="BN19" s="75">
        <f t="shared" si="88"/>
        <v>613918.23828605982</v>
      </c>
      <c r="BO19" s="75">
        <f t="shared" si="88"/>
        <v>631528.28190355492</v>
      </c>
      <c r="BP19" s="75">
        <f t="shared" si="88"/>
        <v>728608.20646874991</v>
      </c>
      <c r="BQ19" s="75">
        <f t="shared" si="88"/>
        <v>897774.98967505468</v>
      </c>
      <c r="BR19" s="75">
        <f t="shared" si="88"/>
        <v>662316.06128236488</v>
      </c>
      <c r="BS19" s="75">
        <f t="shared" si="88"/>
        <v>563478.77183708991</v>
      </c>
      <c r="BT19" s="75">
        <f t="shared" si="88"/>
        <v>566804.0179214098</v>
      </c>
      <c r="BU19" s="75">
        <f t="shared" si="88"/>
        <v>550979.83531027508</v>
      </c>
      <c r="BV19" s="75">
        <f t="shared" ref="BV19:CC19" si="89">BV18+BV15</f>
        <v>557640.18934585492</v>
      </c>
      <c r="BW19" s="75">
        <f t="shared" si="89"/>
        <v>564356.81403397513</v>
      </c>
      <c r="BX19" s="75">
        <f t="shared" si="89"/>
        <v>610099.28690962493</v>
      </c>
      <c r="BY19" s="75">
        <f t="shared" si="89"/>
        <v>613441.04490028485</v>
      </c>
      <c r="BZ19" s="75">
        <f t="shared" si="89"/>
        <v>575056.9042913249</v>
      </c>
      <c r="CA19" s="75">
        <f t="shared" si="89"/>
        <v>581176.72685310012</v>
      </c>
      <c r="CB19" s="75">
        <f t="shared" si="89"/>
        <v>960500.25888807001</v>
      </c>
      <c r="CC19" s="75">
        <f t="shared" si="89"/>
        <v>1083249.774156885</v>
      </c>
      <c r="CD19" s="75">
        <f t="shared" ref="CD19:CE19" si="90">CD18+CD15</f>
        <v>963043.34360953479</v>
      </c>
      <c r="CE19" s="75">
        <f t="shared" si="90"/>
        <v>837432.7337829899</v>
      </c>
      <c r="CF19" s="75">
        <f t="shared" ref="CF19:CG19" si="91">CF18+CF15</f>
        <v>722482.03453425004</v>
      </c>
      <c r="CG19" s="75">
        <f t="shared" si="91"/>
        <v>627736.84329651005</v>
      </c>
      <c r="CH19" s="75">
        <f t="shared" ref="CH19:CI19" si="92">CH18+CH15</f>
        <v>609882.86349970498</v>
      </c>
      <c r="CI19" s="75">
        <f t="shared" si="92"/>
        <v>621570.08843539492</v>
      </c>
      <c r="CJ19" s="75">
        <f t="shared" ref="CJ19:CK19" si="93">CJ18+CJ15</f>
        <v>579161.63757372019</v>
      </c>
      <c r="CK19" s="75">
        <f t="shared" si="93"/>
        <v>692170.79414903978</v>
      </c>
      <c r="CL19" s="75">
        <f t="shared" ref="CL19:CM19" si="94">CL18+CL15</f>
        <v>583528.13833787991</v>
      </c>
      <c r="CM19" s="75">
        <f t="shared" si="94"/>
        <v>594807.99176423997</v>
      </c>
      <c r="CN19" s="75">
        <f t="shared" ref="CN19:CO19" si="95">CN18+CN15</f>
        <v>1327646.6349463197</v>
      </c>
      <c r="CO19" s="75">
        <f t="shared" si="95"/>
        <v>1055747.0824063797</v>
      </c>
      <c r="CP19" s="75">
        <f t="shared" ref="CP19:CQ19" si="96">CP18+CP15</f>
        <v>819286.99765652989</v>
      </c>
      <c r="CQ19" s="75">
        <f t="shared" si="96"/>
        <v>702548.89869550499</v>
      </c>
      <c r="CR19" s="75">
        <f t="shared" ref="CR19" si="97">CR18+CR15</f>
        <v>680916.03047239478</v>
      </c>
      <c r="CT19" s="75">
        <f t="shared" si="66"/>
        <v>3258499.0092308093</v>
      </c>
      <c r="CV19" s="75">
        <f t="shared" ca="1" si="67"/>
        <v>3606207.8860836597</v>
      </c>
    </row>
    <row r="20" spans="2:101" customFormat="1" ht="18.75" customHeight="1">
      <c r="B20" s="67" t="s">
        <v>25</v>
      </c>
      <c r="C20" s="58"/>
      <c r="D20" s="58"/>
      <c r="E20" s="58"/>
      <c r="F20" s="58"/>
      <c r="G20" s="21"/>
      <c r="H20" s="21"/>
      <c r="I20" s="72">
        <v>105693.74889805498</v>
      </c>
      <c r="J20" s="72">
        <v>84111.926801850001</v>
      </c>
      <c r="K20" s="72">
        <v>76637.232994679987</v>
      </c>
      <c r="L20" s="72">
        <v>83012.063343914997</v>
      </c>
      <c r="M20" s="72">
        <v>81240.828886980002</v>
      </c>
      <c r="N20" s="72">
        <v>84819.625409700006</v>
      </c>
      <c r="O20" s="72">
        <v>108173.081672655</v>
      </c>
      <c r="P20" s="72">
        <v>71568.176791439997</v>
      </c>
      <c r="Q20" s="72">
        <v>85814.994817679981</v>
      </c>
      <c r="R20" s="72">
        <v>107601.05801758499</v>
      </c>
      <c r="S20" s="72">
        <v>101846.76831299999</v>
      </c>
      <c r="T20" s="72">
        <v>142478.38878032999</v>
      </c>
      <c r="U20" s="72">
        <v>144423.35197933501</v>
      </c>
      <c r="V20" s="72">
        <v>104220.69442585498</v>
      </c>
      <c r="W20" s="72">
        <v>30164.861698799999</v>
      </c>
      <c r="X20" s="72">
        <v>-17595.933507299997</v>
      </c>
      <c r="Y20" s="72">
        <v>7669.1685498150009</v>
      </c>
      <c r="Z20" s="72">
        <v>10332.689729520001</v>
      </c>
      <c r="AA20" s="72">
        <v>3078.5826814049988</v>
      </c>
      <c r="AB20" s="72">
        <v>13192.160687205</v>
      </c>
      <c r="AC20" s="72">
        <v>22276.924539000007</v>
      </c>
      <c r="AD20" s="72">
        <v>37574.017245329997</v>
      </c>
      <c r="AE20" s="72">
        <v>35806.893078705012</v>
      </c>
      <c r="AF20" s="72">
        <v>70763.157686774983</v>
      </c>
      <c r="AG20" s="72">
        <v>47588.364636614991</v>
      </c>
      <c r="AH20" s="72">
        <v>24722.943446010006</v>
      </c>
      <c r="AI20" s="72">
        <v>8613.325579904993</v>
      </c>
      <c r="AJ20" s="72">
        <v>23548.344864434996</v>
      </c>
      <c r="AK20" s="72">
        <v>49743.391261049997</v>
      </c>
      <c r="AL20" s="72">
        <v>45702.240137279994</v>
      </c>
      <c r="AM20" s="72">
        <v>56282.767638374993</v>
      </c>
      <c r="AN20" s="72">
        <v>52720.819061220005</v>
      </c>
      <c r="AO20" s="72">
        <v>44320.995118605002</v>
      </c>
      <c r="AP20" s="72">
        <v>67679.690056214982</v>
      </c>
      <c r="AQ20" s="72">
        <v>68766.943200075009</v>
      </c>
      <c r="AR20" s="72">
        <v>137718.74334644998</v>
      </c>
      <c r="AS20" s="72">
        <v>98348.171972895012</v>
      </c>
      <c r="AT20" s="72">
        <v>68770.671466845</v>
      </c>
      <c r="AU20" s="72">
        <v>88515.696084689975</v>
      </c>
      <c r="AV20" s="72">
        <v>74011.387117979975</v>
      </c>
      <c r="AW20" s="72">
        <v>76531.543352534994</v>
      </c>
      <c r="AX20" s="72">
        <v>79810.232086544987</v>
      </c>
      <c r="AY20" s="72">
        <v>77345.115539789986</v>
      </c>
      <c r="AZ20" s="72">
        <v>77976.865745534989</v>
      </c>
      <c r="BA20" s="72">
        <v>78025.538374334981</v>
      </c>
      <c r="BB20" s="72">
        <v>115138.71142649998</v>
      </c>
      <c r="BC20" s="72">
        <v>117561.79477208997</v>
      </c>
      <c r="BD20" s="72">
        <v>194330.39080570498</v>
      </c>
      <c r="BE20" s="72">
        <v>184558.89613252348</v>
      </c>
      <c r="BF20" s="72">
        <v>149914.68214721998</v>
      </c>
      <c r="BG20" s="72">
        <v>124238.38127086498</v>
      </c>
      <c r="BH20" s="72">
        <v>125843.53806829501</v>
      </c>
      <c r="BI20" s="72">
        <v>116534.80230440997</v>
      </c>
      <c r="BJ20" s="72">
        <v>132926.18050052039</v>
      </c>
      <c r="BK20" s="72">
        <v>177889.78845199497</v>
      </c>
      <c r="BL20" s="72">
        <v>121201.36133570997</v>
      </c>
      <c r="BM20" s="72">
        <v>126271.77230761499</v>
      </c>
      <c r="BN20" s="72">
        <v>139137.06940928998</v>
      </c>
      <c r="BO20" s="72">
        <v>151528.38848998497</v>
      </c>
      <c r="BP20" s="72">
        <v>180688.92445114499</v>
      </c>
      <c r="BQ20" s="72">
        <v>211171.67925679497</v>
      </c>
      <c r="BR20" s="72">
        <v>168131.20228348501</v>
      </c>
      <c r="BS20" s="72">
        <v>161210.76803677497</v>
      </c>
      <c r="BT20" s="72">
        <v>154859.78586074998</v>
      </c>
      <c r="BU20" s="72">
        <v>169920.19729777495</v>
      </c>
      <c r="BV20" s="72">
        <v>173993.78879938528</v>
      </c>
      <c r="BW20" s="72">
        <v>212343.52939123497</v>
      </c>
      <c r="BX20" s="72">
        <v>161314.74211024499</v>
      </c>
      <c r="BY20" s="72">
        <v>143623.14707872499</v>
      </c>
      <c r="BZ20" s="72">
        <v>150118.42096071001</v>
      </c>
      <c r="CA20" s="72">
        <v>190034.74833370501</v>
      </c>
      <c r="CB20" s="72">
        <v>270090.09804273001</v>
      </c>
      <c r="CC20" s="72">
        <v>325225.91074735497</v>
      </c>
      <c r="CD20" s="72">
        <v>301603.09251614998</v>
      </c>
      <c r="CE20" s="72">
        <v>228467.99721979079</v>
      </c>
      <c r="CF20" s="72">
        <v>194400.85999981497</v>
      </c>
      <c r="CG20" s="72">
        <v>186221.806753515</v>
      </c>
      <c r="CH20" s="72">
        <v>196834.38532216498</v>
      </c>
      <c r="CI20" s="72">
        <v>191296.883364765</v>
      </c>
      <c r="CJ20" s="72">
        <v>162132.84905840998</v>
      </c>
      <c r="CK20" s="72">
        <v>154253.20322432998</v>
      </c>
      <c r="CL20" s="72">
        <v>168929.75882326497</v>
      </c>
      <c r="CM20" s="72">
        <v>179938.127928375</v>
      </c>
      <c r="CN20" s="72">
        <v>254355.93029416833</v>
      </c>
      <c r="CO20" s="72">
        <v>269772.37571455137</v>
      </c>
      <c r="CP20" s="72">
        <v>230589.20471513158</v>
      </c>
      <c r="CQ20" s="72">
        <v>186161.05086163498</v>
      </c>
      <c r="CR20" s="72">
        <v>196067.06585681939</v>
      </c>
      <c r="CT20" s="73">
        <f t="shared" si="66"/>
        <v>882589.69714813738</v>
      </c>
      <c r="CV20" s="73">
        <f t="shared" ca="1" si="67"/>
        <v>1049697.8604831106</v>
      </c>
    </row>
    <row r="21" spans="2:101" customFormat="1" ht="18.75" customHeight="1">
      <c r="B21" s="69" t="s">
        <v>68</v>
      </c>
      <c r="C21" s="61"/>
      <c r="D21" s="61"/>
      <c r="E21" s="61"/>
      <c r="F21" s="61"/>
      <c r="G21" s="21"/>
      <c r="H21" s="21"/>
      <c r="I21" s="76">
        <f>+I20+I19</f>
        <v>796574.26561525487</v>
      </c>
      <c r="J21" s="76">
        <f t="shared" ref="J21:BU21" si="98">+J20+J19</f>
        <v>532027.99767911993</v>
      </c>
      <c r="K21" s="76">
        <f t="shared" si="98"/>
        <v>458106.91314403497</v>
      </c>
      <c r="L21" s="76">
        <f t="shared" si="98"/>
        <v>475140.20733378001</v>
      </c>
      <c r="M21" s="76">
        <f t="shared" si="98"/>
        <v>461721.95238148508</v>
      </c>
      <c r="N21" s="76">
        <f t="shared" si="98"/>
        <v>481664.65649500501</v>
      </c>
      <c r="O21" s="76">
        <f t="shared" si="98"/>
        <v>514222.0042836449</v>
      </c>
      <c r="P21" s="76">
        <f t="shared" si="98"/>
        <v>527532.19963294489</v>
      </c>
      <c r="Q21" s="76">
        <f t="shared" si="98"/>
        <v>454649.98920508497</v>
      </c>
      <c r="R21" s="76">
        <f t="shared" si="98"/>
        <v>490413.50492572493</v>
      </c>
      <c r="S21" s="76">
        <f t="shared" si="98"/>
        <v>491442.0078012899</v>
      </c>
      <c r="T21" s="76">
        <f t="shared" si="98"/>
        <v>595132.83911441988</v>
      </c>
      <c r="U21" s="76">
        <f t="shared" si="98"/>
        <v>909258.67388353497</v>
      </c>
      <c r="V21" s="76">
        <f t="shared" si="98"/>
        <v>628822.91853445501</v>
      </c>
      <c r="W21" s="76">
        <f t="shared" si="98"/>
        <v>454711.45608521998</v>
      </c>
      <c r="X21" s="76">
        <f t="shared" si="98"/>
        <v>46074.610508384969</v>
      </c>
      <c r="Y21" s="76">
        <f t="shared" si="98"/>
        <v>72590.482396244988</v>
      </c>
      <c r="Z21" s="76">
        <f t="shared" si="98"/>
        <v>164666.23462666495</v>
      </c>
      <c r="AA21" s="76">
        <f t="shared" si="98"/>
        <v>157007.74858694995</v>
      </c>
      <c r="AB21" s="76">
        <f t="shared" si="98"/>
        <v>139139.39692307997</v>
      </c>
      <c r="AC21" s="76">
        <f t="shared" si="98"/>
        <v>186987.169692375</v>
      </c>
      <c r="AD21" s="76">
        <f t="shared" si="98"/>
        <v>242588.89901383498</v>
      </c>
      <c r="AE21" s="76">
        <f t="shared" si="98"/>
        <v>309909.70978951495</v>
      </c>
      <c r="AF21" s="76">
        <f t="shared" si="98"/>
        <v>462164.50896629994</v>
      </c>
      <c r="AG21" s="76">
        <f t="shared" si="98"/>
        <v>529685.11451614485</v>
      </c>
      <c r="AH21" s="76">
        <f t="shared" si="98"/>
        <v>555088.99016141996</v>
      </c>
      <c r="AI21" s="76">
        <f t="shared" si="98"/>
        <v>285145.60330706998</v>
      </c>
      <c r="AJ21" s="76">
        <f t="shared" si="98"/>
        <v>177196.56782886005</v>
      </c>
      <c r="AK21" s="76">
        <f t="shared" si="98"/>
        <v>281223.19783364993</v>
      </c>
      <c r="AL21" s="76">
        <f t="shared" si="98"/>
        <v>367584.48631352989</v>
      </c>
      <c r="AM21" s="76">
        <f t="shared" si="98"/>
        <v>415761.27331939503</v>
      </c>
      <c r="AN21" s="76">
        <f t="shared" si="98"/>
        <v>424593.54083477991</v>
      </c>
      <c r="AO21" s="76">
        <f t="shared" si="98"/>
        <v>382432.5386466299</v>
      </c>
      <c r="AP21" s="76">
        <f t="shared" si="98"/>
        <v>452541.55530351005</v>
      </c>
      <c r="AQ21" s="76">
        <f t="shared" si="98"/>
        <v>483892.80525479995</v>
      </c>
      <c r="AR21" s="76">
        <f t="shared" si="98"/>
        <v>643650.51492189011</v>
      </c>
      <c r="AS21" s="76">
        <f t="shared" si="98"/>
        <v>917239.78941454506</v>
      </c>
      <c r="AT21" s="76">
        <f t="shared" si="98"/>
        <v>576876.79015352996</v>
      </c>
      <c r="AU21" s="76">
        <f t="shared" si="98"/>
        <v>557429.96229657019</v>
      </c>
      <c r="AV21" s="76">
        <f t="shared" si="98"/>
        <v>566655.72161809506</v>
      </c>
      <c r="AW21" s="76">
        <f t="shared" si="98"/>
        <v>604658.75573083479</v>
      </c>
      <c r="AX21" s="76">
        <f t="shared" si="98"/>
        <v>610037.03122162493</v>
      </c>
      <c r="AY21" s="76">
        <f t="shared" si="98"/>
        <v>559454.27057260496</v>
      </c>
      <c r="AZ21" s="76">
        <f t="shared" si="98"/>
        <v>621884.7555656851</v>
      </c>
      <c r="BA21" s="76">
        <f t="shared" si="98"/>
        <v>569120.23371893982</v>
      </c>
      <c r="BB21" s="76">
        <f t="shared" si="98"/>
        <v>657887.83541845495</v>
      </c>
      <c r="BC21" s="76">
        <f t="shared" si="98"/>
        <v>685668.41038450494</v>
      </c>
      <c r="BD21" s="76">
        <f t="shared" si="98"/>
        <v>828713.21980798489</v>
      </c>
      <c r="BE21" s="76">
        <f t="shared" si="98"/>
        <v>1122141.0216559786</v>
      </c>
      <c r="BF21" s="76">
        <f t="shared" si="98"/>
        <v>782616.83042056498</v>
      </c>
      <c r="BG21" s="76">
        <f t="shared" si="98"/>
        <v>704384.40507578989</v>
      </c>
      <c r="BH21" s="76">
        <f t="shared" si="98"/>
        <v>715124.91200876993</v>
      </c>
      <c r="BI21" s="76">
        <f t="shared" si="98"/>
        <v>730784.29744670982</v>
      </c>
      <c r="BJ21" s="76">
        <f t="shared" si="98"/>
        <v>748367.91805233539</v>
      </c>
      <c r="BK21" s="76">
        <f t="shared" si="98"/>
        <v>750425.75123815495</v>
      </c>
      <c r="BL21" s="76">
        <f t="shared" si="98"/>
        <v>790377.46884742472</v>
      </c>
      <c r="BM21" s="76">
        <f t="shared" si="98"/>
        <v>730531.2033142047</v>
      </c>
      <c r="BN21" s="76">
        <f t="shared" si="98"/>
        <v>753055.30769534979</v>
      </c>
      <c r="BO21" s="76">
        <f t="shared" si="98"/>
        <v>783056.67039353983</v>
      </c>
      <c r="BP21" s="76">
        <f t="shared" si="98"/>
        <v>909297.1309198949</v>
      </c>
      <c r="BQ21" s="76">
        <f t="shared" si="98"/>
        <v>1108946.6689318498</v>
      </c>
      <c r="BR21" s="76">
        <f t="shared" si="98"/>
        <v>830447.26356584986</v>
      </c>
      <c r="BS21" s="76">
        <f t="shared" si="98"/>
        <v>724689.53987386485</v>
      </c>
      <c r="BT21" s="76">
        <f t="shared" si="98"/>
        <v>721663.80378215981</v>
      </c>
      <c r="BU21" s="76">
        <f t="shared" si="98"/>
        <v>720900.03260805004</v>
      </c>
      <c r="BV21" s="76">
        <f t="shared" ref="BV21:CC21" si="99">+BV20+BV19</f>
        <v>731633.97814524022</v>
      </c>
      <c r="BW21" s="76">
        <f t="shared" si="99"/>
        <v>776700.3434252101</v>
      </c>
      <c r="BX21" s="76">
        <f t="shared" si="99"/>
        <v>771414.02901986986</v>
      </c>
      <c r="BY21" s="76">
        <f t="shared" si="99"/>
        <v>757064.19197900989</v>
      </c>
      <c r="BZ21" s="76">
        <f t="shared" si="99"/>
        <v>725175.32525203493</v>
      </c>
      <c r="CA21" s="76">
        <f t="shared" si="99"/>
        <v>771211.47518680512</v>
      </c>
      <c r="CB21" s="76">
        <f t="shared" si="99"/>
        <v>1230590.3569308</v>
      </c>
      <c r="CC21" s="76">
        <f t="shared" si="99"/>
        <v>1408475.6849042401</v>
      </c>
      <c r="CD21" s="76">
        <f t="shared" ref="CD21:CE21" si="100">+CD20+CD19</f>
        <v>1264646.4361256848</v>
      </c>
      <c r="CE21" s="76">
        <f t="shared" si="100"/>
        <v>1065900.7310027806</v>
      </c>
      <c r="CF21" s="76">
        <f t="shared" ref="CF21:CG21" si="101">+CF20+CF19</f>
        <v>916882.89453406504</v>
      </c>
      <c r="CG21" s="76">
        <f t="shared" si="101"/>
        <v>813958.65005002508</v>
      </c>
      <c r="CH21" s="76">
        <f t="shared" ref="CH21:CI21" si="102">+CH20+CH19</f>
        <v>806717.24882186996</v>
      </c>
      <c r="CI21" s="76">
        <f t="shared" si="102"/>
        <v>812866.9718001599</v>
      </c>
      <c r="CJ21" s="76">
        <f t="shared" ref="CJ21:CK21" si="103">+CJ20+CJ19</f>
        <v>741294.48663213011</v>
      </c>
      <c r="CK21" s="76">
        <f t="shared" si="103"/>
        <v>846423.99737336976</v>
      </c>
      <c r="CL21" s="76">
        <f t="shared" ref="CL21:CM21" si="104">+CL20+CL19</f>
        <v>752457.89716114488</v>
      </c>
      <c r="CM21" s="76">
        <f t="shared" si="104"/>
        <v>774746.119692615</v>
      </c>
      <c r="CN21" s="76">
        <f t="shared" ref="CN21:CO21" si="105">+CN20+CN19</f>
        <v>1582002.5652404882</v>
      </c>
      <c r="CO21" s="76">
        <f t="shared" si="105"/>
        <v>1325519.4581209312</v>
      </c>
      <c r="CP21" s="76">
        <f t="shared" ref="CP21:CQ21" si="106">+CP20+CP19</f>
        <v>1049876.2023716616</v>
      </c>
      <c r="CQ21" s="76">
        <f t="shared" si="106"/>
        <v>888709.94955714</v>
      </c>
      <c r="CR21" s="76">
        <f t="shared" ref="CR21" si="107">+CR20+CR19</f>
        <v>876983.09632921417</v>
      </c>
      <c r="CT21" s="76">
        <f t="shared" si="66"/>
        <v>4141088.7063789465</v>
      </c>
      <c r="CV21" s="76">
        <f t="shared" ca="1" si="67"/>
        <v>4655905.7465667706</v>
      </c>
    </row>
    <row r="22" spans="2:101" customFormat="1" ht="18.75" customHeight="1">
      <c r="B22" s="63" t="s">
        <v>56</v>
      </c>
      <c r="C22" s="56"/>
      <c r="D22" s="56"/>
      <c r="E22" s="56"/>
      <c r="F22" s="56"/>
      <c r="G22" s="21"/>
      <c r="H22" s="21"/>
      <c r="I22" s="72">
        <v>58097.931265154992</v>
      </c>
      <c r="J22" s="72">
        <v>62264.824729665001</v>
      </c>
      <c r="K22" s="72">
        <v>56062.566440114999</v>
      </c>
      <c r="L22" s="72">
        <v>56757.322231919992</v>
      </c>
      <c r="M22" s="72">
        <v>63371.592909359992</v>
      </c>
      <c r="N22" s="72">
        <v>64095.248074514995</v>
      </c>
      <c r="O22" s="72">
        <v>59728.174275044992</v>
      </c>
      <c r="P22" s="72">
        <v>59824.19306202</v>
      </c>
      <c r="Q22" s="72">
        <v>83723.263834214988</v>
      </c>
      <c r="R22" s="72">
        <v>83654.492522504996</v>
      </c>
      <c r="S22" s="72">
        <v>133297.14983566498</v>
      </c>
      <c r="T22" s="72">
        <v>133413.32036437499</v>
      </c>
      <c r="U22" s="72">
        <v>140775.75938411997</v>
      </c>
      <c r="V22" s="72">
        <v>136677.03236071498</v>
      </c>
      <c r="W22" s="72">
        <v>138574.111738785</v>
      </c>
      <c r="X22" s="72">
        <v>137481.37584967501</v>
      </c>
      <c r="Y22" s="72">
        <v>151695.50256520501</v>
      </c>
      <c r="Z22" s="72">
        <v>121686.90264328499</v>
      </c>
      <c r="AA22" s="72">
        <v>228010.45625683499</v>
      </c>
      <c r="AB22" s="72">
        <v>95994.02618999999</v>
      </c>
      <c r="AC22" s="72">
        <v>100531.00495888499</v>
      </c>
      <c r="AD22" s="72">
        <v>95803.838600414994</v>
      </c>
      <c r="AE22" s="72">
        <v>98478.038752964989</v>
      </c>
      <c r="AF22" s="72">
        <v>101500.89198184499</v>
      </c>
      <c r="AG22" s="72">
        <v>119010.18042792</v>
      </c>
      <c r="AH22" s="72">
        <v>127638.52519255498</v>
      </c>
      <c r="AI22" s="72">
        <v>116184.98900844</v>
      </c>
      <c r="AJ22" s="72">
        <v>120257.710133085</v>
      </c>
      <c r="AK22" s="72">
        <v>123893.909229945</v>
      </c>
      <c r="AL22" s="72">
        <v>135593.37660518999</v>
      </c>
      <c r="AM22" s="72">
        <v>126955.66872656997</v>
      </c>
      <c r="AN22" s="72">
        <v>134572.06496903999</v>
      </c>
      <c r="AO22" s="72">
        <v>157615.23322339499</v>
      </c>
      <c r="AP22" s="72">
        <v>155462.23698332999</v>
      </c>
      <c r="AQ22" s="72">
        <v>133565.87863526997</v>
      </c>
      <c r="AR22" s="72">
        <v>134963.38087792497</v>
      </c>
      <c r="AS22" s="72">
        <v>162865.79659245</v>
      </c>
      <c r="AT22" s="72">
        <v>178004.03117672997</v>
      </c>
      <c r="AU22" s="72">
        <v>172845.49303375499</v>
      </c>
      <c r="AV22" s="72">
        <v>174223.61465626498</v>
      </c>
      <c r="AW22" s="72">
        <v>184641.01456852499</v>
      </c>
      <c r="AX22" s="72">
        <v>198794.60823923998</v>
      </c>
      <c r="AY22" s="72">
        <v>187800.27142471497</v>
      </c>
      <c r="AZ22" s="72">
        <v>214577.96385316495</v>
      </c>
      <c r="BA22" s="72">
        <v>187121.51110002</v>
      </c>
      <c r="BB22" s="72">
        <v>217134.99597109496</v>
      </c>
      <c r="BC22" s="72">
        <v>216601.35860728496</v>
      </c>
      <c r="BD22" s="72">
        <v>221779.08282137994</v>
      </c>
      <c r="BE22" s="72">
        <v>320920.37457311997</v>
      </c>
      <c r="BF22" s="72">
        <v>200725.2137202</v>
      </c>
      <c r="BG22" s="72">
        <v>224657.85657960002</v>
      </c>
      <c r="BH22" s="72">
        <v>220538.06166541501</v>
      </c>
      <c r="BI22" s="72">
        <v>226448.60607236999</v>
      </c>
      <c r="BJ22" s="72">
        <v>230413.58948422497</v>
      </c>
      <c r="BK22" s="72">
        <v>236305.73309066996</v>
      </c>
      <c r="BL22" s="72">
        <v>226200.973461585</v>
      </c>
      <c r="BM22" s="72">
        <v>253655.26848918002</v>
      </c>
      <c r="BN22" s="72">
        <v>215603.265512955</v>
      </c>
      <c r="BO22" s="72">
        <v>212965.56983200499</v>
      </c>
      <c r="BP22" s="72">
        <v>272660.40547867498</v>
      </c>
      <c r="BQ22" s="72">
        <v>223073.51299058995</v>
      </c>
      <c r="BR22" s="72">
        <v>228939.01045511998</v>
      </c>
      <c r="BS22" s="72">
        <v>229754.29821104999</v>
      </c>
      <c r="BT22" s="72">
        <v>234547.39900271996</v>
      </c>
      <c r="BU22" s="72">
        <v>234441.28135271996</v>
      </c>
      <c r="BV22" s="72">
        <v>223711.085518065</v>
      </c>
      <c r="BW22" s="72">
        <v>217218.68388713995</v>
      </c>
      <c r="BX22" s="72">
        <v>239648.07472840496</v>
      </c>
      <c r="BY22" s="72">
        <v>232569.35185769998</v>
      </c>
      <c r="BZ22" s="72">
        <v>248374.23520555501</v>
      </c>
      <c r="CA22" s="72">
        <v>222806.09297533496</v>
      </c>
      <c r="CB22" s="72">
        <v>232912.4655927</v>
      </c>
      <c r="CC22" s="72">
        <v>230519.97950285996</v>
      </c>
      <c r="CD22" s="72">
        <v>224389.06057214999</v>
      </c>
      <c r="CE22" s="72">
        <v>262467.80873342999</v>
      </c>
      <c r="CF22" s="72">
        <v>266709.80873335502</v>
      </c>
      <c r="CG22" s="72">
        <v>241368.71228981993</v>
      </c>
      <c r="CH22" s="72">
        <v>319315.99950904498</v>
      </c>
      <c r="CI22" s="72">
        <v>283977.21968252998</v>
      </c>
      <c r="CJ22" s="72">
        <v>239821.15261555498</v>
      </c>
      <c r="CK22" s="72">
        <v>237712.75762378497</v>
      </c>
      <c r="CL22" s="72">
        <v>305084.31739695003</v>
      </c>
      <c r="CM22" s="72">
        <v>243586.29173167501</v>
      </c>
      <c r="CN22" s="72">
        <v>300284.96273844002</v>
      </c>
      <c r="CO22" s="72">
        <v>268466.63241342001</v>
      </c>
      <c r="CP22" s="72">
        <v>268490.21529250499</v>
      </c>
      <c r="CQ22" s="72">
        <v>269406.81003163499</v>
      </c>
      <c r="CR22" s="72">
        <v>268655.28837158997</v>
      </c>
      <c r="CT22" s="71">
        <f t="shared" si="66"/>
        <v>1075018.9461091501</v>
      </c>
      <c r="CV22" s="71">
        <f t="shared" ca="1" si="67"/>
        <v>984086.65754179494</v>
      </c>
    </row>
    <row r="23" spans="2:101" customFormat="1" ht="18.75" customHeight="1">
      <c r="B23" s="69" t="s">
        <v>69</v>
      </c>
      <c r="C23" s="61"/>
      <c r="D23" s="61"/>
      <c r="E23" s="61"/>
      <c r="F23" s="61"/>
      <c r="G23" s="21"/>
      <c r="H23" s="21"/>
      <c r="I23" s="76">
        <f>I22+I21</f>
        <v>854672.19688040984</v>
      </c>
      <c r="J23" s="76">
        <f t="shared" ref="J23:BU23" si="108">J22+J21</f>
        <v>594292.82240878488</v>
      </c>
      <c r="K23" s="76">
        <f t="shared" si="108"/>
        <v>514169.47958414996</v>
      </c>
      <c r="L23" s="76">
        <f t="shared" si="108"/>
        <v>531897.52956569998</v>
      </c>
      <c r="M23" s="76">
        <f t="shared" si="108"/>
        <v>525093.5452908451</v>
      </c>
      <c r="N23" s="76">
        <f t="shared" si="108"/>
        <v>545759.90456952003</v>
      </c>
      <c r="O23" s="76">
        <f t="shared" si="108"/>
        <v>573950.17855868989</v>
      </c>
      <c r="P23" s="76">
        <f t="shared" si="108"/>
        <v>587356.39269496489</v>
      </c>
      <c r="Q23" s="76">
        <f t="shared" si="108"/>
        <v>538373.25303929998</v>
      </c>
      <c r="R23" s="76">
        <f t="shared" si="108"/>
        <v>574067.99744822993</v>
      </c>
      <c r="S23" s="76">
        <f t="shared" si="108"/>
        <v>624739.15763695491</v>
      </c>
      <c r="T23" s="76">
        <f t="shared" si="108"/>
        <v>728546.1594787949</v>
      </c>
      <c r="U23" s="76">
        <f t="shared" si="108"/>
        <v>1050034.4332676549</v>
      </c>
      <c r="V23" s="76">
        <f t="shared" si="108"/>
        <v>765499.95089516998</v>
      </c>
      <c r="W23" s="76">
        <f t="shared" si="108"/>
        <v>593285.56782400492</v>
      </c>
      <c r="X23" s="76">
        <f t="shared" si="108"/>
        <v>183555.98635805998</v>
      </c>
      <c r="Y23" s="76">
        <f t="shared" si="108"/>
        <v>224285.98496144998</v>
      </c>
      <c r="Z23" s="76">
        <f t="shared" si="108"/>
        <v>286353.13726994995</v>
      </c>
      <c r="AA23" s="76">
        <f t="shared" si="108"/>
        <v>385018.20484378492</v>
      </c>
      <c r="AB23" s="76">
        <f t="shared" si="108"/>
        <v>235133.42311307997</v>
      </c>
      <c r="AC23" s="76">
        <f t="shared" si="108"/>
        <v>287518.17465126002</v>
      </c>
      <c r="AD23" s="76">
        <f t="shared" si="108"/>
        <v>338392.73761424999</v>
      </c>
      <c r="AE23" s="76">
        <f t="shared" si="108"/>
        <v>408387.74854247994</v>
      </c>
      <c r="AF23" s="76">
        <f t="shared" si="108"/>
        <v>563665.40094814496</v>
      </c>
      <c r="AG23" s="76">
        <f t="shared" si="108"/>
        <v>648695.29494406481</v>
      </c>
      <c r="AH23" s="76">
        <f t="shared" si="108"/>
        <v>682727.51535397489</v>
      </c>
      <c r="AI23" s="76">
        <f t="shared" si="108"/>
        <v>401330.59231550997</v>
      </c>
      <c r="AJ23" s="76">
        <f t="shared" si="108"/>
        <v>297454.27796194504</v>
      </c>
      <c r="AK23" s="76">
        <f t="shared" si="108"/>
        <v>405117.10706359491</v>
      </c>
      <c r="AL23" s="76">
        <f t="shared" si="108"/>
        <v>503177.86291871988</v>
      </c>
      <c r="AM23" s="76">
        <f t="shared" si="108"/>
        <v>542716.942045965</v>
      </c>
      <c r="AN23" s="76">
        <f t="shared" si="108"/>
        <v>559165.60580381984</v>
      </c>
      <c r="AO23" s="76">
        <f t="shared" si="108"/>
        <v>540047.77187002485</v>
      </c>
      <c r="AP23" s="76">
        <f t="shared" si="108"/>
        <v>608003.79228684003</v>
      </c>
      <c r="AQ23" s="76">
        <f t="shared" si="108"/>
        <v>617458.68389006995</v>
      </c>
      <c r="AR23" s="76">
        <f t="shared" si="108"/>
        <v>778613.89579981507</v>
      </c>
      <c r="AS23" s="76">
        <f t="shared" si="108"/>
        <v>1080105.5860069951</v>
      </c>
      <c r="AT23" s="76">
        <f t="shared" si="108"/>
        <v>754880.8213302599</v>
      </c>
      <c r="AU23" s="76">
        <f t="shared" si="108"/>
        <v>730275.45533032517</v>
      </c>
      <c r="AV23" s="76">
        <f t="shared" si="108"/>
        <v>740879.33627436007</v>
      </c>
      <c r="AW23" s="76">
        <f t="shared" si="108"/>
        <v>789299.77029935981</v>
      </c>
      <c r="AX23" s="76">
        <f t="shared" si="108"/>
        <v>808831.63946086494</v>
      </c>
      <c r="AY23" s="76">
        <f t="shared" si="108"/>
        <v>747254.5419973199</v>
      </c>
      <c r="AZ23" s="76">
        <f t="shared" si="108"/>
        <v>836462.71941885003</v>
      </c>
      <c r="BA23" s="76">
        <f t="shared" si="108"/>
        <v>756241.74481895985</v>
      </c>
      <c r="BB23" s="76">
        <f t="shared" si="108"/>
        <v>875022.83138954989</v>
      </c>
      <c r="BC23" s="76">
        <f t="shared" si="108"/>
        <v>902269.7689917899</v>
      </c>
      <c r="BD23" s="76">
        <f t="shared" si="108"/>
        <v>1050492.3026293649</v>
      </c>
      <c r="BE23" s="76">
        <f t="shared" si="108"/>
        <v>1443061.3962290986</v>
      </c>
      <c r="BF23" s="76">
        <f t="shared" si="108"/>
        <v>983342.04414076498</v>
      </c>
      <c r="BG23" s="76">
        <f t="shared" si="108"/>
        <v>929042.26165538991</v>
      </c>
      <c r="BH23" s="76">
        <f t="shared" si="108"/>
        <v>935662.97367418488</v>
      </c>
      <c r="BI23" s="76">
        <f t="shared" si="108"/>
        <v>957232.90351907979</v>
      </c>
      <c r="BJ23" s="76">
        <f t="shared" si="108"/>
        <v>978781.5075365603</v>
      </c>
      <c r="BK23" s="76">
        <f t="shared" si="108"/>
        <v>986731.48432882491</v>
      </c>
      <c r="BL23" s="76">
        <f t="shared" si="108"/>
        <v>1016578.4423090097</v>
      </c>
      <c r="BM23" s="76">
        <f t="shared" si="108"/>
        <v>984186.47180338472</v>
      </c>
      <c r="BN23" s="76">
        <f t="shared" si="108"/>
        <v>968658.57320830482</v>
      </c>
      <c r="BO23" s="76">
        <f t="shared" si="108"/>
        <v>996022.24022554478</v>
      </c>
      <c r="BP23" s="76">
        <f t="shared" si="108"/>
        <v>1181957.5363985698</v>
      </c>
      <c r="BQ23" s="76">
        <f t="shared" si="108"/>
        <v>1332020.1819224397</v>
      </c>
      <c r="BR23" s="76">
        <f t="shared" si="108"/>
        <v>1059386.2740209699</v>
      </c>
      <c r="BS23" s="76">
        <f t="shared" si="108"/>
        <v>954443.83808491484</v>
      </c>
      <c r="BT23" s="76">
        <f t="shared" si="108"/>
        <v>956211.20278487983</v>
      </c>
      <c r="BU23" s="76">
        <f t="shared" si="108"/>
        <v>955341.31396077003</v>
      </c>
      <c r="BV23" s="76">
        <f t="shared" ref="BV23:CC23" si="109">BV22+BV21</f>
        <v>955345.06366330525</v>
      </c>
      <c r="BW23" s="76">
        <f t="shared" si="109"/>
        <v>993919.02731234999</v>
      </c>
      <c r="BX23" s="76">
        <f t="shared" si="109"/>
        <v>1011062.1037482749</v>
      </c>
      <c r="BY23" s="76">
        <f t="shared" si="109"/>
        <v>989633.54383670981</v>
      </c>
      <c r="BZ23" s="76">
        <f t="shared" si="109"/>
        <v>973549.56045758992</v>
      </c>
      <c r="CA23" s="76">
        <f t="shared" si="109"/>
        <v>994017.56816214009</v>
      </c>
      <c r="CB23" s="76">
        <f t="shared" si="109"/>
        <v>1463502.8225235001</v>
      </c>
      <c r="CC23" s="76">
        <f t="shared" si="109"/>
        <v>1638995.6644071001</v>
      </c>
      <c r="CD23" s="76">
        <f t="shared" ref="CD23:CE23" si="110">CD22+CD21</f>
        <v>1489035.4966978347</v>
      </c>
      <c r="CE23" s="76">
        <f t="shared" si="110"/>
        <v>1328368.5397362106</v>
      </c>
      <c r="CF23" s="76">
        <f t="shared" ref="CF23:CG23" si="111">CF22+CF21</f>
        <v>1183592.7032674202</v>
      </c>
      <c r="CG23" s="76">
        <f t="shared" si="111"/>
        <v>1055327.3623398449</v>
      </c>
      <c r="CH23" s="76">
        <f t="shared" ref="CH23:CI23" si="112">CH22+CH21</f>
        <v>1126033.2483309149</v>
      </c>
      <c r="CI23" s="76">
        <f t="shared" si="112"/>
        <v>1096844.1914826899</v>
      </c>
      <c r="CJ23" s="76">
        <f t="shared" ref="CJ23:CK23" si="113">CJ22+CJ21</f>
        <v>981115.63924768509</v>
      </c>
      <c r="CK23" s="76">
        <f t="shared" si="113"/>
        <v>1084136.7549971547</v>
      </c>
      <c r="CL23" s="76">
        <f t="shared" ref="CL23:CM23" si="114">CL22+CL21</f>
        <v>1057542.214558095</v>
      </c>
      <c r="CM23" s="76">
        <f t="shared" si="114"/>
        <v>1018332.41142429</v>
      </c>
      <c r="CN23" s="76">
        <f t="shared" ref="CN23:CO23" si="115">CN22+CN21</f>
        <v>1882287.5279789283</v>
      </c>
      <c r="CO23" s="76">
        <f t="shared" si="115"/>
        <v>1593986.0905343513</v>
      </c>
      <c r="CP23" s="76">
        <f t="shared" ref="CP23:CQ23" si="116">CP22+CP21</f>
        <v>1318366.4176641665</v>
      </c>
      <c r="CQ23" s="76">
        <f t="shared" si="116"/>
        <v>1158116.759588775</v>
      </c>
      <c r="CR23" s="76">
        <f t="shared" ref="CR23" si="117">CR22+CR21</f>
        <v>1145638.384700804</v>
      </c>
      <c r="CT23" s="76">
        <f t="shared" si="66"/>
        <v>5216107.6524880966</v>
      </c>
      <c r="CV23" s="76">
        <f t="shared" ca="1" si="67"/>
        <v>5639992.4041085653</v>
      </c>
    </row>
    <row r="24" spans="2:101" customFormat="1" ht="18.75" customHeight="1">
      <c r="B24" s="67" t="s">
        <v>4</v>
      </c>
      <c r="C24" s="58"/>
      <c r="D24" s="58"/>
      <c r="E24" s="58"/>
      <c r="F24" s="58"/>
      <c r="G24" s="21"/>
      <c r="H24" s="21"/>
      <c r="I24" s="72">
        <v>-2244.2114347499996</v>
      </c>
      <c r="J24" s="72">
        <v>-30523.362493050001</v>
      </c>
      <c r="K24" s="72">
        <v>-16529.652748334996</v>
      </c>
      <c r="L24" s="72">
        <v>-54132.509233679993</v>
      </c>
      <c r="M24" s="72">
        <v>-53780.654941574991</v>
      </c>
      <c r="N24" s="72">
        <v>-18205.8977595</v>
      </c>
      <c r="O24" s="72">
        <v>-57348.305573789999</v>
      </c>
      <c r="P24" s="72">
        <v>-203604.12189410997</v>
      </c>
      <c r="Q24" s="72">
        <v>-117413.459983665</v>
      </c>
      <c r="R24" s="72">
        <v>-212235.3</v>
      </c>
      <c r="S24" s="72">
        <v>-109416.80529143999</v>
      </c>
      <c r="T24" s="72">
        <v>-141377.34741647998</v>
      </c>
      <c r="U24" s="72">
        <v>-168947.40972571497</v>
      </c>
      <c r="V24" s="72">
        <v>-111685.31413078499</v>
      </c>
      <c r="W24" s="72">
        <v>-159358.04583640498</v>
      </c>
      <c r="X24" s="72">
        <v>-43124.928936434997</v>
      </c>
      <c r="Y24" s="72">
        <v>-104592.29367536999</v>
      </c>
      <c r="Z24" s="72">
        <v>-255549.75152207998</v>
      </c>
      <c r="AA24" s="72">
        <v>-69520.010640554989</v>
      </c>
      <c r="AB24" s="72">
        <v>-47789.553089249996</v>
      </c>
      <c r="AC24" s="72">
        <v>-3176.5787939249999</v>
      </c>
      <c r="AD24" s="72">
        <v>-32226.037873574995</v>
      </c>
      <c r="AE24" s="72">
        <v>-3093.3294974999999</v>
      </c>
      <c r="AF24" s="72">
        <v>-14260.970583494998</v>
      </c>
      <c r="AG24" s="72">
        <v>0</v>
      </c>
      <c r="AH24" s="72">
        <v>-3383.0306819999996</v>
      </c>
      <c r="AI24" s="72">
        <v>-1025.80395</v>
      </c>
      <c r="AJ24" s="72">
        <v>-1025.80395</v>
      </c>
      <c r="AK24" s="72">
        <v>-8236.3532400449985</v>
      </c>
      <c r="AL24" s="72">
        <v>-99466.294741139995</v>
      </c>
      <c r="AM24" s="72">
        <v>-23196.808925279998</v>
      </c>
      <c r="AN24" s="72">
        <v>-10248.61625268</v>
      </c>
      <c r="AO24" s="72">
        <v>-29876.716906499998</v>
      </c>
      <c r="AP24" s="72">
        <v>-3837.9216749999996</v>
      </c>
      <c r="AQ24" s="72">
        <v>-21800.767568939998</v>
      </c>
      <c r="AR24" s="72">
        <v>-39284.071339784998</v>
      </c>
      <c r="AS24" s="72">
        <v>-27535.043484734997</v>
      </c>
      <c r="AT24" s="72">
        <v>-36360.441650909997</v>
      </c>
      <c r="AU24" s="72">
        <v>-33132.862714394993</v>
      </c>
      <c r="AV24" s="72">
        <v>-59761.576574009989</v>
      </c>
      <c r="AW24" s="72">
        <v>-21926.552356739998</v>
      </c>
      <c r="AX24" s="72">
        <v>-118944.62094374999</v>
      </c>
      <c r="AY24" s="72">
        <v>-80057.80810124999</v>
      </c>
      <c r="AZ24" s="72">
        <v>-12267.200339999999</v>
      </c>
      <c r="BA24" s="72">
        <v>-48430.719467804993</v>
      </c>
      <c r="BB24" s="72">
        <v>-61188.60074689499</v>
      </c>
      <c r="BC24" s="72">
        <v>-98788.935169424978</v>
      </c>
      <c r="BD24" s="72">
        <v>-44184.004306964991</v>
      </c>
      <c r="BE24" s="72">
        <v>-14207.908221240001</v>
      </c>
      <c r="BF24" s="72">
        <v>-80823.160428345</v>
      </c>
      <c r="BG24" s="72">
        <v>-121776.91181999999</v>
      </c>
      <c r="BH24" s="72">
        <v>-269384.82500000013</v>
      </c>
      <c r="BI24" s="72">
        <v>-88059.839999999982</v>
      </c>
      <c r="BJ24" s="72">
        <v>-15279.950000000004</v>
      </c>
      <c r="BK24" s="72">
        <v>-2231.0799999999995</v>
      </c>
      <c r="BL24" s="72">
        <v>0</v>
      </c>
      <c r="BM24" s="72">
        <v>-50405.878460249995</v>
      </c>
      <c r="BN24" s="72">
        <v>-232035.57999999996</v>
      </c>
      <c r="BO24" s="72">
        <v>-254221.84999999998</v>
      </c>
      <c r="BP24" s="72">
        <v>-242669.45999999996</v>
      </c>
      <c r="BQ24" s="72">
        <v>-139987.93999999997</v>
      </c>
      <c r="BR24" s="72">
        <v>-55799.819999999985</v>
      </c>
      <c r="BS24" s="72">
        <v>-48109.58</v>
      </c>
      <c r="BT24" s="72">
        <v>-164821.73999999996</v>
      </c>
      <c r="BU24" s="72">
        <v>-163872.68999999997</v>
      </c>
      <c r="BV24" s="72">
        <v>-11083449.48431433</v>
      </c>
      <c r="BW24" s="72">
        <v>-614198.17877109721</v>
      </c>
      <c r="BX24" s="72">
        <v>-486841.91120726429</v>
      </c>
      <c r="BY24" s="72">
        <v>-670476.18715063238</v>
      </c>
      <c r="BZ24" s="72">
        <v>-443957.14530812134</v>
      </c>
      <c r="CA24" s="72">
        <v>-226753.08087055283</v>
      </c>
      <c r="CB24" s="72">
        <v>-329112.62406428321</v>
      </c>
      <c r="CC24" s="72">
        <v>-70857.001239450066</v>
      </c>
      <c r="CD24" s="72">
        <v>-284218.5457105051</v>
      </c>
      <c r="CE24" s="72">
        <v>-634117.51317631151</v>
      </c>
      <c r="CF24" s="72">
        <v>-493260.82509820501</v>
      </c>
      <c r="CG24" s="72">
        <v>-216683.52646616695</v>
      </c>
      <c r="CH24" s="72">
        <v>-216731.843041007</v>
      </c>
      <c r="CI24" s="72">
        <v>-838026.40934482589</v>
      </c>
      <c r="CJ24" s="72">
        <v>-695962.27529914898</v>
      </c>
      <c r="CK24" s="72">
        <v>-802306.94584195502</v>
      </c>
      <c r="CL24" s="72">
        <v>-618837.31519019022</v>
      </c>
      <c r="CM24" s="72">
        <v>-763603.23255639768</v>
      </c>
      <c r="CN24" s="72">
        <v>-908383.83567858615</v>
      </c>
      <c r="CO24" s="72">
        <v>-560951.60669279192</v>
      </c>
      <c r="CP24" s="72">
        <v>-512339.68055474467</v>
      </c>
      <c r="CQ24" s="72">
        <v>-337800.72999999986</v>
      </c>
      <c r="CR24" s="72">
        <v>-439173.74999999994</v>
      </c>
      <c r="CT24" s="73">
        <f t="shared" si="66"/>
        <v>-1850265.7672475367</v>
      </c>
      <c r="CV24" s="73">
        <f t="shared" ca="1" si="67"/>
        <v>-1482453.8852244718</v>
      </c>
    </row>
    <row r="25" spans="2:101" customFormat="1" ht="18.75" customHeight="1">
      <c r="B25" s="67" t="s">
        <v>49</v>
      </c>
      <c r="C25" s="58"/>
      <c r="D25" s="58"/>
      <c r="E25" s="58"/>
      <c r="F25" s="58"/>
      <c r="G25" s="21"/>
      <c r="H25" s="21"/>
      <c r="I25" s="72">
        <v>-62945.901956385002</v>
      </c>
      <c r="J25" s="72">
        <v>-53269.415476424998</v>
      </c>
      <c r="K25" s="72">
        <v>-68474.581999814996</v>
      </c>
      <c r="L25" s="72">
        <v>-55106.170507725001</v>
      </c>
      <c r="M25" s="72">
        <v>-47939.355838499992</v>
      </c>
      <c r="N25" s="72">
        <v>-80622.792618869993</v>
      </c>
      <c r="O25" s="72">
        <v>-70552.563673094992</v>
      </c>
      <c r="P25" s="72">
        <v>-84992.986277249991</v>
      </c>
      <c r="Q25" s="72">
        <v>-99372.270965984979</v>
      </c>
      <c r="R25" s="72">
        <v>-95460.894653654992</v>
      </c>
      <c r="S25" s="72">
        <v>-97994.602112114982</v>
      </c>
      <c r="T25" s="72">
        <v>-83714.760273195003</v>
      </c>
      <c r="U25" s="72">
        <v>-101290.28028188999</v>
      </c>
      <c r="V25" s="72">
        <v>-56262.226798589996</v>
      </c>
      <c r="W25" s="72">
        <v>-37554.643699695</v>
      </c>
      <c r="X25" s="72">
        <v>-16740.451922804998</v>
      </c>
      <c r="Y25" s="72">
        <v>-35709.774205424997</v>
      </c>
      <c r="Z25" s="72">
        <v>-41213.827879544995</v>
      </c>
      <c r="AA25" s="72">
        <v>-24034.887215175</v>
      </c>
      <c r="AB25" s="72">
        <v>-45610.476668069998</v>
      </c>
      <c r="AC25" s="72">
        <v>-66621.573281789984</v>
      </c>
      <c r="AD25" s="72">
        <v>-46585.51039705499</v>
      </c>
      <c r="AE25" s="72">
        <v>-58626.651844514992</v>
      </c>
      <c r="AF25" s="72">
        <v>-45889.205287559991</v>
      </c>
      <c r="AG25" s="72">
        <v>-99592.178572079996</v>
      </c>
      <c r="AH25" s="72">
        <v>-53388.567911099999</v>
      </c>
      <c r="AI25" s="72">
        <v>-81661.171510394997</v>
      </c>
      <c r="AJ25" s="72">
        <v>-82062.282078374992</v>
      </c>
      <c r="AK25" s="72">
        <v>-74362.487974770003</v>
      </c>
      <c r="AL25" s="72">
        <v>-54041.357709584998</v>
      </c>
      <c r="AM25" s="72">
        <v>-52204.825525350003</v>
      </c>
      <c r="AN25" s="72">
        <v>-56672.449335449994</v>
      </c>
      <c r="AO25" s="72">
        <v>-68507.206102679993</v>
      </c>
      <c r="AP25" s="72">
        <v>-158689.62490807497</v>
      </c>
      <c r="AQ25" s="72">
        <v>-96115.067518844997</v>
      </c>
      <c r="AR25" s="72">
        <v>-154783.33870569</v>
      </c>
      <c r="AS25" s="72">
        <v>-62387.35878011999</v>
      </c>
      <c r="AT25" s="72">
        <v>-26805.640280205</v>
      </c>
      <c r="AU25" s="72">
        <v>-41748.402615929997</v>
      </c>
      <c r="AV25" s="72">
        <v>-34819.217200349995</v>
      </c>
      <c r="AW25" s="72">
        <v>-33679.077942619995</v>
      </c>
      <c r="AX25" s="72">
        <v>-55782.687942619996</v>
      </c>
      <c r="AY25" s="72">
        <v>-86821.749703120004</v>
      </c>
      <c r="AZ25" s="72">
        <v>-115944.25970311998</v>
      </c>
      <c r="BA25" s="72">
        <v>-52536.199703119994</v>
      </c>
      <c r="BB25" s="72">
        <v>-47866.170032549999</v>
      </c>
      <c r="BC25" s="72">
        <v>-30282.287953035</v>
      </c>
      <c r="BD25" s="72">
        <v>-29867.410388594999</v>
      </c>
      <c r="BE25" s="72">
        <v>-104742.09642461999</v>
      </c>
      <c r="BF25" s="72">
        <v>-36847.679703119997</v>
      </c>
      <c r="BG25" s="72">
        <v>-24944.099703119999</v>
      </c>
      <c r="BH25" s="72">
        <v>-24944.099703119999</v>
      </c>
      <c r="BI25" s="72">
        <v>-24944.07</v>
      </c>
      <c r="BJ25" s="72">
        <v>-34422.083960624994</v>
      </c>
      <c r="BK25" s="72">
        <v>-35793.335832454999</v>
      </c>
      <c r="BL25" s="72">
        <v>-36614.168952059998</v>
      </c>
      <c r="BM25" s="72">
        <v>-113461.90426099999</v>
      </c>
      <c r="BN25" s="72">
        <v>-30753.039999999994</v>
      </c>
      <c r="BO25" s="72">
        <v>-40424.754260999995</v>
      </c>
      <c r="BP25" s="72">
        <v>-33843.784260999993</v>
      </c>
      <c r="BQ25" s="72">
        <v>-2745.8899999999994</v>
      </c>
      <c r="BR25" s="72">
        <v>-14607.079999999998</v>
      </c>
      <c r="BS25" s="72">
        <v>-6607.1599999999989</v>
      </c>
      <c r="BT25" s="72">
        <v>-4935.1799999999994</v>
      </c>
      <c r="BU25" s="72">
        <v>-8475.2499999999982</v>
      </c>
      <c r="BV25" s="72">
        <v>-6591.4099999999989</v>
      </c>
      <c r="BW25" s="72">
        <v>-15976.669999999998</v>
      </c>
      <c r="BX25" s="72">
        <v>-12591.529999999997</v>
      </c>
      <c r="BY25" s="72">
        <v>-29225.399999999998</v>
      </c>
      <c r="BZ25" s="72">
        <v>-18958.589999999997</v>
      </c>
      <c r="CA25" s="72">
        <v>-5333.1099999999988</v>
      </c>
      <c r="CB25" s="72">
        <v>-419.51</v>
      </c>
      <c r="CC25" s="72">
        <v>-1782.7799999999997</v>
      </c>
      <c r="CD25" s="72">
        <v>0</v>
      </c>
      <c r="CE25" s="72">
        <v>-1216.8099999999997</v>
      </c>
      <c r="CF25" s="72">
        <v>892.67999999999984</v>
      </c>
      <c r="CG25" s="72">
        <v>-2274.9499999999994</v>
      </c>
      <c r="CH25" s="72">
        <v>-1410.3399999999997</v>
      </c>
      <c r="CI25" s="72">
        <v>-1300.9199999999998</v>
      </c>
      <c r="CJ25" s="72">
        <v>-1651.1999999999998</v>
      </c>
      <c r="CK25" s="72">
        <v>-1798.6899999999996</v>
      </c>
      <c r="CL25" s="72">
        <v>-1278.5599999999997</v>
      </c>
      <c r="CM25" s="72">
        <v>-4092.6500000000005</v>
      </c>
      <c r="CN25" s="72">
        <v>-32760.769999999993</v>
      </c>
      <c r="CO25" s="72">
        <v>-4005.9399999999996</v>
      </c>
      <c r="CP25" s="72">
        <v>-8253.42</v>
      </c>
      <c r="CQ25" s="72">
        <v>-42662.929999999986</v>
      </c>
      <c r="CR25" s="72">
        <v>-2155.410000000003</v>
      </c>
      <c r="CT25" s="73">
        <f t="shared" si="66"/>
        <v>-57077.69999999999</v>
      </c>
      <c r="CV25" s="73">
        <f t="shared" ca="1" si="67"/>
        <v>-2106.9099999999994</v>
      </c>
    </row>
    <row r="26" spans="2:101" customFormat="1" ht="18.75" customHeight="1">
      <c r="B26" s="70" t="s">
        <v>29</v>
      </c>
      <c r="C26" s="62"/>
      <c r="D26" s="62"/>
      <c r="E26" s="62"/>
      <c r="F26" s="62"/>
      <c r="G26" s="21"/>
      <c r="H26" s="21"/>
      <c r="I26" s="77">
        <f>I23+I25+I24</f>
        <v>789482.08348927484</v>
      </c>
      <c r="J26" s="77">
        <f t="shared" ref="J26:BU26" si="118">J23+J25+J24</f>
        <v>510500.04443930992</v>
      </c>
      <c r="K26" s="77">
        <f t="shared" si="118"/>
        <v>429165.24483599997</v>
      </c>
      <c r="L26" s="77">
        <f t="shared" si="118"/>
        <v>422658.84982429503</v>
      </c>
      <c r="M26" s="77">
        <f t="shared" si="118"/>
        <v>423373.53451077011</v>
      </c>
      <c r="N26" s="77">
        <f t="shared" si="118"/>
        <v>446931.21419115004</v>
      </c>
      <c r="O26" s="77">
        <f t="shared" si="118"/>
        <v>446049.30931180494</v>
      </c>
      <c r="P26" s="77">
        <f t="shared" si="118"/>
        <v>298759.2845236049</v>
      </c>
      <c r="Q26" s="77">
        <f t="shared" si="118"/>
        <v>321587.52208965004</v>
      </c>
      <c r="R26" s="77">
        <f t="shared" si="118"/>
        <v>266371.80279457493</v>
      </c>
      <c r="S26" s="77">
        <f t="shared" si="118"/>
        <v>417327.75023339991</v>
      </c>
      <c r="T26" s="77">
        <f t="shared" si="118"/>
        <v>503454.05178911996</v>
      </c>
      <c r="U26" s="77">
        <f t="shared" si="118"/>
        <v>779796.74326004996</v>
      </c>
      <c r="V26" s="77">
        <f t="shared" si="118"/>
        <v>597552.409965795</v>
      </c>
      <c r="W26" s="77">
        <f t="shared" si="118"/>
        <v>396372.8782879049</v>
      </c>
      <c r="X26" s="77">
        <f t="shared" si="118"/>
        <v>123690.60549881999</v>
      </c>
      <c r="Y26" s="77">
        <f t="shared" si="118"/>
        <v>83983.917080654996</v>
      </c>
      <c r="Z26" s="77">
        <f t="shared" si="118"/>
        <v>-10410.442131675023</v>
      </c>
      <c r="AA26" s="77">
        <f t="shared" si="118"/>
        <v>291463.30698805489</v>
      </c>
      <c r="AB26" s="77">
        <f t="shared" si="118"/>
        <v>141733.39335575997</v>
      </c>
      <c r="AC26" s="77">
        <f t="shared" si="118"/>
        <v>217720.02257554504</v>
      </c>
      <c r="AD26" s="77">
        <f t="shared" si="118"/>
        <v>259581.18934361998</v>
      </c>
      <c r="AE26" s="77">
        <f t="shared" si="118"/>
        <v>346667.76720046496</v>
      </c>
      <c r="AF26" s="77">
        <f t="shared" si="118"/>
        <v>503515.22507708997</v>
      </c>
      <c r="AG26" s="77">
        <f t="shared" si="118"/>
        <v>549103.11637198483</v>
      </c>
      <c r="AH26" s="77">
        <f t="shared" si="118"/>
        <v>625955.91676087491</v>
      </c>
      <c r="AI26" s="77">
        <f t="shared" si="118"/>
        <v>318643.61685511499</v>
      </c>
      <c r="AJ26" s="77">
        <f t="shared" si="118"/>
        <v>214366.19193357005</v>
      </c>
      <c r="AK26" s="77">
        <f t="shared" si="118"/>
        <v>322518.26584877988</v>
      </c>
      <c r="AL26" s="77">
        <f t="shared" si="118"/>
        <v>349670.21046799491</v>
      </c>
      <c r="AM26" s="77">
        <f t="shared" si="118"/>
        <v>467315.30759533501</v>
      </c>
      <c r="AN26" s="77">
        <f t="shared" si="118"/>
        <v>492244.54021568981</v>
      </c>
      <c r="AO26" s="77">
        <f t="shared" si="118"/>
        <v>441663.84886084485</v>
      </c>
      <c r="AP26" s="77">
        <f t="shared" si="118"/>
        <v>445476.24570376507</v>
      </c>
      <c r="AQ26" s="77">
        <f t="shared" si="118"/>
        <v>499542.84880228498</v>
      </c>
      <c r="AR26" s="77">
        <f t="shared" si="118"/>
        <v>584546.48575434007</v>
      </c>
      <c r="AS26" s="77">
        <f t="shared" si="118"/>
        <v>990183.18374214007</v>
      </c>
      <c r="AT26" s="77">
        <f t="shared" si="118"/>
        <v>691714.73939914501</v>
      </c>
      <c r="AU26" s="77">
        <f t="shared" si="118"/>
        <v>655394.19000000018</v>
      </c>
      <c r="AV26" s="77">
        <f t="shared" si="118"/>
        <v>646298.5425000001</v>
      </c>
      <c r="AW26" s="77">
        <f t="shared" si="118"/>
        <v>733694.13999999978</v>
      </c>
      <c r="AX26" s="77">
        <f t="shared" si="118"/>
        <v>634104.3305744949</v>
      </c>
      <c r="AY26" s="77">
        <f t="shared" si="118"/>
        <v>580374.98419294995</v>
      </c>
      <c r="AZ26" s="77">
        <f t="shared" si="118"/>
        <v>708251.25937573006</v>
      </c>
      <c r="BA26" s="77">
        <f t="shared" si="118"/>
        <v>655274.82564803481</v>
      </c>
      <c r="BB26" s="77">
        <f t="shared" si="118"/>
        <v>765968.06061010493</v>
      </c>
      <c r="BC26" s="77">
        <f t="shared" si="118"/>
        <v>773198.54586932994</v>
      </c>
      <c r="BD26" s="77">
        <f t="shared" si="118"/>
        <v>976440.88793380489</v>
      </c>
      <c r="BE26" s="77">
        <f t="shared" si="118"/>
        <v>1324111.3915832387</v>
      </c>
      <c r="BF26" s="77">
        <f t="shared" si="118"/>
        <v>865671.20400929998</v>
      </c>
      <c r="BG26" s="77">
        <f t="shared" si="118"/>
        <v>782321.25013226992</v>
      </c>
      <c r="BH26" s="77">
        <f t="shared" si="118"/>
        <v>641334.04897106485</v>
      </c>
      <c r="BI26" s="77">
        <f t="shared" si="118"/>
        <v>844228.99351907987</v>
      </c>
      <c r="BJ26" s="77">
        <f t="shared" si="118"/>
        <v>929079.47357593535</v>
      </c>
      <c r="BK26" s="77">
        <f t="shared" si="118"/>
        <v>948707.06849636999</v>
      </c>
      <c r="BL26" s="77">
        <f t="shared" si="118"/>
        <v>979964.27335694968</v>
      </c>
      <c r="BM26" s="77">
        <f t="shared" si="118"/>
        <v>820318.68908213475</v>
      </c>
      <c r="BN26" s="77">
        <f t="shared" si="118"/>
        <v>705869.95320830483</v>
      </c>
      <c r="BO26" s="77">
        <f t="shared" si="118"/>
        <v>701375.63596454484</v>
      </c>
      <c r="BP26" s="77">
        <f t="shared" si="118"/>
        <v>905444.29213756975</v>
      </c>
      <c r="BQ26" s="77">
        <f t="shared" si="118"/>
        <v>1189286.3519224399</v>
      </c>
      <c r="BR26" s="77">
        <f t="shared" si="118"/>
        <v>988979.37402096996</v>
      </c>
      <c r="BS26" s="77">
        <f t="shared" si="118"/>
        <v>899727.09808491485</v>
      </c>
      <c r="BT26" s="77">
        <f t="shared" si="118"/>
        <v>786454.28278487979</v>
      </c>
      <c r="BU26" s="77">
        <f t="shared" si="118"/>
        <v>782993.37396077008</v>
      </c>
      <c r="BV26" s="77">
        <f t="shared" ref="BV26:CC26" si="119">BV23+BV25+BV24</f>
        <v>-10134695.830651024</v>
      </c>
      <c r="BW26" s="77">
        <f t="shared" si="119"/>
        <v>363744.17854125274</v>
      </c>
      <c r="BX26" s="77">
        <f t="shared" si="119"/>
        <v>511628.66254101053</v>
      </c>
      <c r="BY26" s="77">
        <f t="shared" si="119"/>
        <v>289931.95668607741</v>
      </c>
      <c r="BZ26" s="77">
        <f t="shared" si="119"/>
        <v>510633.82514946861</v>
      </c>
      <c r="CA26" s="77">
        <f t="shared" si="119"/>
        <v>761931.3772915873</v>
      </c>
      <c r="CB26" s="77">
        <f t="shared" si="119"/>
        <v>1133970.6884592168</v>
      </c>
      <c r="CC26" s="77">
        <f t="shared" si="119"/>
        <v>1566355.8831676501</v>
      </c>
      <c r="CD26" s="77">
        <f t="shared" ref="CD26:CE26" si="120">CD23+CD25+CD24</f>
        <v>1204816.9509873297</v>
      </c>
      <c r="CE26" s="77">
        <f t="shared" si="120"/>
        <v>693034.21655989904</v>
      </c>
      <c r="CF26" s="77">
        <f t="shared" ref="CF26:CG26" si="121">CF23+CF25+CF24</f>
        <v>691224.5581692151</v>
      </c>
      <c r="CG26" s="77">
        <f t="shared" si="121"/>
        <v>836368.88587367802</v>
      </c>
      <c r="CH26" s="77">
        <f t="shared" ref="CH26:CI26" si="122">CH23+CH25+CH24</f>
        <v>907891.06528990786</v>
      </c>
      <c r="CI26" s="77">
        <f t="shared" si="122"/>
        <v>257516.86213786411</v>
      </c>
      <c r="CJ26" s="77">
        <f t="shared" ref="CJ26:CK26" si="123">CJ23+CJ25+CJ24</f>
        <v>283502.16394853615</v>
      </c>
      <c r="CK26" s="77">
        <f t="shared" si="123"/>
        <v>280031.11915519973</v>
      </c>
      <c r="CL26" s="77">
        <f t="shared" ref="CL26:CM26" si="124">CL23+CL25+CL24</f>
        <v>437426.3393679047</v>
      </c>
      <c r="CM26" s="77">
        <f t="shared" si="124"/>
        <v>250636.52886789234</v>
      </c>
      <c r="CN26" s="77">
        <f t="shared" ref="CN26:CO26" si="125">CN23+CN25+CN24</f>
        <v>941142.92230034212</v>
      </c>
      <c r="CO26" s="77">
        <f t="shared" si="125"/>
        <v>1029028.5438415594</v>
      </c>
      <c r="CP26" s="77">
        <f t="shared" ref="CP26:CQ26" si="126">CP23+CP25+CP24</f>
        <v>797773.31710942194</v>
      </c>
      <c r="CQ26" s="77">
        <f t="shared" si="126"/>
        <v>777653.09958877519</v>
      </c>
      <c r="CR26" s="77">
        <f t="shared" ref="CR26" si="127">CR23+CR25+CR24</f>
        <v>704309.2247008041</v>
      </c>
      <c r="CT26" s="77">
        <f t="shared" si="66"/>
        <v>3308764.1852405602</v>
      </c>
      <c r="CV26" s="77">
        <f t="shared" ca="1" si="67"/>
        <v>4155431.6088840938</v>
      </c>
    </row>
    <row r="27" spans="2:101" ht="17.45" customHeight="1">
      <c r="B27" s="31"/>
      <c r="G27" s="21"/>
      <c r="H27" s="21"/>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row>
    <row r="28" spans="2:101" ht="17.45" customHeight="1">
      <c r="B28" s="23" t="s">
        <v>41</v>
      </c>
      <c r="C28" s="23"/>
      <c r="D28" s="23"/>
      <c r="E28" s="23"/>
      <c r="F28" s="23"/>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4"/>
      <c r="CT28" s="5"/>
      <c r="CU28" s="4"/>
      <c r="CV28" s="5"/>
      <c r="CW28" s="4"/>
    </row>
    <row r="29" spans="2:101" ht="5.0999999999999996" customHeight="1">
      <c r="B29" s="3"/>
      <c r="C29" s="3"/>
      <c r="D29" s="3"/>
      <c r="E29" s="3"/>
      <c r="F29" s="3"/>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5"/>
      <c r="CU29" s="7"/>
      <c r="CV29" s="5"/>
      <c r="CW29" s="7"/>
    </row>
    <row r="30" spans="2:101" ht="17.45" customHeight="1">
      <c r="B30" s="32"/>
      <c r="C30" s="32"/>
      <c r="D30" s="32"/>
      <c r="E30" s="32"/>
      <c r="F30" s="32"/>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4"/>
      <c r="CT30" s="5"/>
      <c r="CU30" s="4"/>
      <c r="CV30" s="5"/>
      <c r="CW30" s="4"/>
    </row>
    <row r="31" spans="2:101" ht="17.45" customHeight="1">
      <c r="B31" s="31" t="s">
        <v>55</v>
      </c>
      <c r="G31" s="21"/>
      <c r="H31" s="21"/>
      <c r="I31" s="45">
        <v>33473132.260000002</v>
      </c>
      <c r="J31" s="45">
        <v>27939205.009999998</v>
      </c>
      <c r="K31" s="45">
        <v>27276527.789999999</v>
      </c>
      <c r="L31" s="45">
        <v>26150587.230000004</v>
      </c>
      <c r="M31" s="45">
        <v>25594512.310000002</v>
      </c>
      <c r="N31" s="45">
        <v>24935703.24000001</v>
      </c>
      <c r="O31" s="45">
        <v>27768350.960000001</v>
      </c>
      <c r="P31" s="45">
        <v>25290952.060000002</v>
      </c>
      <c r="Q31" s="45">
        <v>24385712.050000001</v>
      </c>
      <c r="R31" s="45">
        <v>27307854.759999994</v>
      </c>
      <c r="S31" s="45">
        <v>32155882.169999998</v>
      </c>
      <c r="T31" s="45">
        <v>48068521.13000001</v>
      </c>
      <c r="U31" s="45">
        <v>35216191.249999993</v>
      </c>
      <c r="V31" s="45">
        <v>29757022.330000002</v>
      </c>
      <c r="W31" s="45">
        <v>16736724.770000001</v>
      </c>
      <c r="X31" s="45">
        <v>5608771.5799999991</v>
      </c>
      <c r="Y31" s="45">
        <v>15198357.090000002</v>
      </c>
      <c r="Z31" s="45">
        <v>15457832.309999999</v>
      </c>
      <c r="AA31" s="45">
        <v>15039540.440000001</v>
      </c>
      <c r="AB31" s="45">
        <v>17597664.540000003</v>
      </c>
      <c r="AC31" s="45">
        <v>19739358.900000002</v>
      </c>
      <c r="AD31" s="45">
        <v>23507477.330000002</v>
      </c>
      <c r="AE31" s="45">
        <v>26034837.5</v>
      </c>
      <c r="AF31" s="45">
        <v>39188316.170000002</v>
      </c>
      <c r="AG31" s="45">
        <v>24513222.550000004</v>
      </c>
      <c r="AH31" s="45">
        <v>19183731.560000002</v>
      </c>
      <c r="AI31" s="45">
        <v>16328395.389999997</v>
      </c>
      <c r="AJ31" s="45">
        <v>20448896.209999997</v>
      </c>
      <c r="AK31" s="45">
        <v>26036676.170000006</v>
      </c>
      <c r="AL31" s="45">
        <v>25339680.379999995</v>
      </c>
      <c r="AM31" s="45">
        <v>26379158.919999998</v>
      </c>
      <c r="AN31" s="45">
        <v>24799028.039999999</v>
      </c>
      <c r="AO31" s="45">
        <v>24332395.640000001</v>
      </c>
      <c r="AP31" s="45">
        <v>29055695.370000005</v>
      </c>
      <c r="AQ31" s="45">
        <v>31335479.219999999</v>
      </c>
      <c r="AR31" s="45">
        <v>49648032.999999993</v>
      </c>
      <c r="AS31" s="45">
        <v>31998965.280000005</v>
      </c>
      <c r="AT31" s="45">
        <v>27641969.170000002</v>
      </c>
      <c r="AU31" s="45">
        <v>30910444.980000004</v>
      </c>
      <c r="AV31" s="45">
        <v>32794700.890000004</v>
      </c>
      <c r="AW31" s="45">
        <v>32277204.259999994</v>
      </c>
      <c r="AX31" s="45">
        <v>31268698.459999997</v>
      </c>
      <c r="AY31" s="45">
        <v>31541281.680000003</v>
      </c>
      <c r="AZ31" s="45">
        <v>29159974.370000001</v>
      </c>
      <c r="BA31" s="45">
        <v>29143871.359999999</v>
      </c>
      <c r="BB31" s="45">
        <v>32317886.289999999</v>
      </c>
      <c r="BC31" s="45">
        <v>34752527.350000001</v>
      </c>
      <c r="BD31" s="45">
        <v>55212017.060000002</v>
      </c>
      <c r="BE31" s="45">
        <v>40839061</v>
      </c>
      <c r="BF31" s="45">
        <v>34840646</v>
      </c>
      <c r="BG31" s="45">
        <v>32195433</v>
      </c>
      <c r="BH31" s="45">
        <v>34155985</v>
      </c>
      <c r="BI31" s="45">
        <v>31298198</v>
      </c>
      <c r="BJ31" s="45">
        <v>31889017</v>
      </c>
      <c r="BK31" s="45">
        <v>34851093</v>
      </c>
      <c r="BL31" s="45">
        <v>29956524</v>
      </c>
      <c r="BM31" s="45">
        <v>30642045</v>
      </c>
      <c r="BN31" s="45">
        <v>32281161</v>
      </c>
      <c r="BO31" s="45">
        <v>36783631</v>
      </c>
      <c r="BP31" s="45">
        <v>54872107</v>
      </c>
      <c r="BQ31" s="45">
        <v>42391089</v>
      </c>
      <c r="BR31" s="45">
        <v>34845937</v>
      </c>
      <c r="BS31" s="45">
        <v>35642504</v>
      </c>
      <c r="BT31" s="45">
        <v>31312963</v>
      </c>
      <c r="BU31" s="45">
        <v>36328115</v>
      </c>
      <c r="BV31" s="45">
        <v>33765467</v>
      </c>
      <c r="BW31" s="45">
        <v>38417917</v>
      </c>
      <c r="BX31" s="45">
        <v>33358196.109999999</v>
      </c>
      <c r="BY31" s="45">
        <v>31234384.829999998</v>
      </c>
      <c r="BZ31" s="45">
        <v>33815272</v>
      </c>
      <c r="CA31" s="45">
        <v>42376092.119999997</v>
      </c>
      <c r="CB31" s="45">
        <v>63860214</v>
      </c>
      <c r="CC31" s="45">
        <v>78167350.469999999</v>
      </c>
      <c r="CD31" s="45">
        <v>71828560</v>
      </c>
      <c r="CE31" s="45">
        <v>55238268</v>
      </c>
      <c r="CF31" s="45">
        <v>43223407</v>
      </c>
      <c r="CG31" s="45">
        <v>38538733</v>
      </c>
      <c r="CH31" s="45">
        <v>37388200</v>
      </c>
      <c r="CI31" s="45">
        <v>36771126</v>
      </c>
      <c r="CJ31" s="45">
        <v>35144640</v>
      </c>
      <c r="CK31" s="45">
        <v>32297290.030000001</v>
      </c>
      <c r="CL31" s="45">
        <v>36192420.619999997</v>
      </c>
      <c r="CM31" s="45">
        <v>43568201</v>
      </c>
      <c r="CN31" s="45">
        <v>62980500.100000001</v>
      </c>
      <c r="CO31" s="45">
        <v>57148695</v>
      </c>
      <c r="CP31" s="45">
        <v>49066708</v>
      </c>
      <c r="CQ31" s="45">
        <v>43788106.579999998</v>
      </c>
      <c r="CR31" s="45">
        <v>38550299.049999997</v>
      </c>
    </row>
    <row r="32" spans="2:101" ht="17.45" customHeight="1">
      <c r="B32" s="31" t="s">
        <v>63</v>
      </c>
      <c r="G32" s="21"/>
      <c r="H32" s="21"/>
      <c r="I32" s="34">
        <v>2.2299950825350016E-2</v>
      </c>
      <c r="J32" s="34">
        <v>2.5754844194477381E-2</v>
      </c>
      <c r="K32" s="34">
        <v>2.7746624315061759E-2</v>
      </c>
      <c r="L32" s="34">
        <v>3.2849722896259828E-2</v>
      </c>
      <c r="M32" s="34">
        <v>3.5130512249000809E-2</v>
      </c>
      <c r="N32" s="34">
        <v>3.5130512249000809E-2</v>
      </c>
      <c r="O32" s="34">
        <v>3.1545457005779917E-2</v>
      </c>
      <c r="P32" s="34">
        <v>2.9012901878634482E-2</v>
      </c>
      <c r="Q32" s="34">
        <v>2.9730955744095726E-2</v>
      </c>
      <c r="R32" s="34">
        <v>2.718846902821638E-2</v>
      </c>
      <c r="S32" s="34">
        <v>2.4215249657585567E-2</v>
      </c>
      <c r="T32" s="34">
        <v>6.8396273510993441E-3</v>
      </c>
      <c r="U32" s="34">
        <v>1.081916500682182E-2</v>
      </c>
      <c r="V32" s="34">
        <v>8.2831450304618279E-3</v>
      </c>
      <c r="W32" s="34">
        <v>8.2773201571943091E-3</v>
      </c>
      <c r="X32" s="34">
        <v>1.7395859729126859E-2</v>
      </c>
      <c r="Y32" s="34">
        <v>1.7395859729126859E-2</v>
      </c>
      <c r="Z32" s="34">
        <v>1.5964175929536629E-2</v>
      </c>
      <c r="AA32" s="34">
        <v>1.6141603745505998E-2</v>
      </c>
      <c r="AB32" s="34">
        <v>1.8030801276518599E-2</v>
      </c>
      <c r="AC32" s="34">
        <v>1.8030801276518599E-2</v>
      </c>
      <c r="AD32" s="34">
        <v>1.892611453758896E-2</v>
      </c>
      <c r="AE32" s="34">
        <v>1.9353241527212826E-2</v>
      </c>
      <c r="AF32" s="34">
        <v>1.7506982415308209E-2</v>
      </c>
      <c r="AG32" s="34">
        <v>1.922810993527569E-2</v>
      </c>
      <c r="AH32" s="34">
        <v>1.8843093514568518E-2</v>
      </c>
      <c r="AI32" s="34">
        <v>2.0936643528232046E-2</v>
      </c>
      <c r="AJ32" s="34">
        <v>2.5454412405341451E-2</v>
      </c>
      <c r="AK32" s="34">
        <v>2.4841554509479277E-2</v>
      </c>
      <c r="AL32" s="34">
        <v>1.7127548762793116E-2</v>
      </c>
      <c r="AM32" s="34">
        <v>2.5357224119617047E-2</v>
      </c>
      <c r="AN32" s="34">
        <v>2.2758066341867219E-2</v>
      </c>
      <c r="AO32" s="34">
        <v>1.3220579676671722E-2</v>
      </c>
      <c r="AP32" s="34">
        <v>1.9583782590948218E-2</v>
      </c>
      <c r="AQ32" s="34">
        <v>1.3571600896876363E-2</v>
      </c>
      <c r="AR32" s="34">
        <v>1.3571600896876363E-2</v>
      </c>
      <c r="AS32" s="34">
        <v>1.9794166644751653E-2</v>
      </c>
      <c r="AT32" s="34">
        <v>1.6358276149166007E-2</v>
      </c>
      <c r="AU32" s="34">
        <v>2.0105708489938291E-2</v>
      </c>
      <c r="AV32" s="34">
        <v>1.5516475923617167E-2</v>
      </c>
      <c r="AW32" s="34">
        <v>9.7713220181412912E-3</v>
      </c>
      <c r="AX32" s="34">
        <v>1.5807923776148123E-2</v>
      </c>
      <c r="AY32" s="34">
        <v>1.4220426681347063E-2</v>
      </c>
      <c r="AZ32" s="34">
        <v>1.2098051669163971E-2</v>
      </c>
      <c r="BA32" s="34">
        <v>1.840645018490521E-2</v>
      </c>
      <c r="BB32" s="34">
        <v>1.0778769426603402E-2</v>
      </c>
      <c r="BC32" s="34">
        <v>1.0779811780137614E-2</v>
      </c>
      <c r="BD32" s="34">
        <v>1.3288548266284632E-2</v>
      </c>
      <c r="BE32" s="34">
        <v>1.4254809992501304E-2</v>
      </c>
      <c r="BF32" s="34">
        <v>3.2841641273197303E-2</v>
      </c>
      <c r="BG32" s="34">
        <v>2.9162758709541294E-2</v>
      </c>
      <c r="BH32" s="34">
        <v>2.6821424200989093E-2</v>
      </c>
      <c r="BI32" s="34">
        <v>2.8565281663729649E-2</v>
      </c>
      <c r="BJ32" s="34">
        <v>2.7122664372377033E-2</v>
      </c>
      <c r="BK32" s="34">
        <v>2.7747034139371411E-2</v>
      </c>
      <c r="BL32" s="34">
        <v>2.5753845711246795E-2</v>
      </c>
      <c r="BM32" s="34">
        <v>3.0977715577744421E-2</v>
      </c>
      <c r="BN32" s="34">
        <v>3.1395772640344148E-2</v>
      </c>
      <c r="BO32" s="34">
        <v>3.1395772640344148E-2</v>
      </c>
      <c r="BP32" s="34">
        <v>3.1395772640344148E-2</v>
      </c>
      <c r="BQ32" s="34">
        <v>3.1395772640344148E-2</v>
      </c>
      <c r="BR32" s="34">
        <v>3.0559658515144705E-2</v>
      </c>
      <c r="BS32" s="34">
        <v>3.0559658515144705E-2</v>
      </c>
      <c r="BT32" s="34">
        <v>3.3706867145010116E-2</v>
      </c>
      <c r="BU32" s="34">
        <v>2.8088190160801982E-2</v>
      </c>
      <c r="BV32" s="34">
        <v>2.8591445569460239E-2</v>
      </c>
      <c r="BW32" s="34">
        <v>3.0825384440571178E-2</v>
      </c>
      <c r="BX32" s="34">
        <v>3.0847925359044834E-2</v>
      </c>
      <c r="BY32" s="34">
        <v>1.052954859776419E-2</v>
      </c>
      <c r="BZ32" s="34">
        <v>1.112297748734877E-2</v>
      </c>
      <c r="CA32" s="34">
        <v>1.052954859776419E-2</v>
      </c>
      <c r="CB32" s="34">
        <v>1.052954859776419E-2</v>
      </c>
      <c r="CC32" s="34">
        <v>1.052954859776419E-2</v>
      </c>
      <c r="CD32" s="34">
        <v>1.1053430395447539E-2</v>
      </c>
      <c r="CE32" s="34">
        <v>1.2053046004113383E-2</v>
      </c>
      <c r="CF32" s="34">
        <v>1.2053046004113383E-2</v>
      </c>
      <c r="CG32" s="34">
        <v>1.2053046004113383E-2</v>
      </c>
      <c r="CH32" s="34">
        <v>1.5647699398051097E-2</v>
      </c>
      <c r="CI32" s="34">
        <v>1.5550016445608624E-2</v>
      </c>
      <c r="CJ32" s="34">
        <v>1.5259939686225714E-2</v>
      </c>
      <c r="CK32" s="34">
        <v>1.6274217644751076E-2</v>
      </c>
      <c r="CL32" s="34">
        <v>1.6274217644751076E-2</v>
      </c>
      <c r="CM32" s="34">
        <v>1.6518524095788738E-2</v>
      </c>
      <c r="CN32" s="34">
        <v>1.6518524095788738E-2</v>
      </c>
      <c r="CO32" s="34">
        <v>1.6132151363004117E-2</v>
      </c>
      <c r="CP32" s="34">
        <v>1.6012945984382767E-2</v>
      </c>
      <c r="CQ32" s="34">
        <v>1.4347355454016076E-2</v>
      </c>
      <c r="CR32" s="34">
        <v>1.4347355454016076E-2</v>
      </c>
    </row>
    <row r="33" spans="2:96" ht="17.45" customHeight="1">
      <c r="B33" s="31" t="s">
        <v>30</v>
      </c>
      <c r="G33" s="21"/>
      <c r="H33" s="21"/>
      <c r="I33" s="45">
        <v>107584</v>
      </c>
      <c r="J33" s="45">
        <v>94040</v>
      </c>
      <c r="K33" s="45">
        <v>93428</v>
      </c>
      <c r="L33" s="45">
        <v>92941</v>
      </c>
      <c r="M33" s="45">
        <v>91738</v>
      </c>
      <c r="N33" s="45">
        <v>86385</v>
      </c>
      <c r="O33" s="45">
        <v>98724</v>
      </c>
      <c r="P33" s="45">
        <v>87303</v>
      </c>
      <c r="Q33" s="45">
        <v>85304</v>
      </c>
      <c r="R33" s="45">
        <v>99529</v>
      </c>
      <c r="S33" s="45">
        <v>99656</v>
      </c>
      <c r="T33" s="45">
        <v>126761</v>
      </c>
      <c r="U33" s="45">
        <v>122297</v>
      </c>
      <c r="V33" s="45">
        <v>105850</v>
      </c>
      <c r="W33" s="45">
        <v>58219</v>
      </c>
      <c r="X33" s="45">
        <v>17539</v>
      </c>
      <c r="Y33" s="45">
        <v>41580</v>
      </c>
      <c r="Z33" s="45">
        <v>42802</v>
      </c>
      <c r="AA33" s="45">
        <v>43011</v>
      </c>
      <c r="AB33" s="45">
        <v>54667</v>
      </c>
      <c r="AC33" s="45">
        <v>60484</v>
      </c>
      <c r="AD33" s="45">
        <v>70426</v>
      </c>
      <c r="AE33" s="45">
        <v>68091</v>
      </c>
      <c r="AF33" s="45">
        <v>93698</v>
      </c>
      <c r="AG33" s="45">
        <v>75531</v>
      </c>
      <c r="AH33" s="45">
        <v>59237</v>
      </c>
      <c r="AI33" s="45">
        <v>51858</v>
      </c>
      <c r="AJ33" s="45">
        <v>62690</v>
      </c>
      <c r="AK33" s="45">
        <v>78357</v>
      </c>
      <c r="AL33" s="45">
        <v>78014</v>
      </c>
      <c r="AM33" s="45">
        <v>82045</v>
      </c>
      <c r="AN33" s="45">
        <v>81052</v>
      </c>
      <c r="AO33" s="45">
        <v>78746</v>
      </c>
      <c r="AP33" s="45">
        <v>92055</v>
      </c>
      <c r="AQ33" s="45">
        <v>85068</v>
      </c>
      <c r="AR33" s="45">
        <v>111727</v>
      </c>
      <c r="AS33" s="45">
        <v>85361</v>
      </c>
      <c r="AT33" s="45">
        <v>76128</v>
      </c>
      <c r="AU33" s="45">
        <v>86122</v>
      </c>
      <c r="AV33" s="45">
        <v>83462</v>
      </c>
      <c r="AW33" s="45">
        <v>83514</v>
      </c>
      <c r="AX33" s="45">
        <v>81080</v>
      </c>
      <c r="AY33" s="45">
        <v>82555</v>
      </c>
      <c r="AZ33" s="45">
        <v>79223</v>
      </c>
      <c r="BA33" s="45">
        <v>78000</v>
      </c>
      <c r="BB33" s="45">
        <v>85795</v>
      </c>
      <c r="BC33" s="45">
        <v>82863</v>
      </c>
      <c r="BD33" s="45">
        <v>109709</v>
      </c>
      <c r="BE33" s="45">
        <v>101441</v>
      </c>
      <c r="BF33" s="45">
        <v>89060</v>
      </c>
      <c r="BG33" s="45">
        <v>89651</v>
      </c>
      <c r="BH33" s="45">
        <v>83530</v>
      </c>
      <c r="BI33" s="45">
        <v>80251</v>
      </c>
      <c r="BJ33" s="45">
        <v>80846</v>
      </c>
      <c r="BK33" s="45">
        <v>89528</v>
      </c>
      <c r="BL33" s="45">
        <v>80270</v>
      </c>
      <c r="BM33" s="45">
        <v>79120</v>
      </c>
      <c r="BN33" s="45">
        <v>83869</v>
      </c>
      <c r="BO33" s="45">
        <v>82592</v>
      </c>
      <c r="BP33" s="45">
        <v>101203</v>
      </c>
      <c r="BQ33" s="45">
        <v>99112</v>
      </c>
      <c r="BR33" s="45">
        <v>85752</v>
      </c>
      <c r="BS33" s="45">
        <v>88583</v>
      </c>
      <c r="BT33" s="45">
        <v>81036</v>
      </c>
      <c r="BU33" s="45">
        <v>85492</v>
      </c>
      <c r="BV33" s="45">
        <v>83442</v>
      </c>
      <c r="BW33" s="45">
        <v>92847</v>
      </c>
      <c r="BX33" s="45">
        <v>81947</v>
      </c>
      <c r="BY33" s="45">
        <v>77648</v>
      </c>
      <c r="BZ33" s="45">
        <v>83176</v>
      </c>
      <c r="CA33" s="45">
        <v>89912</v>
      </c>
      <c r="CB33" s="45">
        <v>106429</v>
      </c>
      <c r="CC33" s="45">
        <v>105797</v>
      </c>
      <c r="CD33" s="45">
        <v>100673</v>
      </c>
      <c r="CE33" s="45">
        <v>90441</v>
      </c>
      <c r="CF33" s="45">
        <v>86245</v>
      </c>
      <c r="CG33" s="45">
        <v>85597</v>
      </c>
      <c r="CH33" s="45">
        <v>82882</v>
      </c>
      <c r="CI33" s="45">
        <v>86710</v>
      </c>
      <c r="CJ33" s="45">
        <v>81944</v>
      </c>
      <c r="CK33" s="45">
        <v>77983</v>
      </c>
      <c r="CL33" s="45">
        <v>84378</v>
      </c>
      <c r="CM33" s="45">
        <v>83137</v>
      </c>
      <c r="CN33" s="45">
        <v>101140</v>
      </c>
      <c r="CO33" s="45">
        <v>98818</v>
      </c>
      <c r="CP33" s="45">
        <v>86670</v>
      </c>
      <c r="CQ33" s="45">
        <v>84219</v>
      </c>
      <c r="CR33" s="45">
        <v>79524</v>
      </c>
    </row>
    <row r="34" spans="2:96" ht="17.45" customHeight="1">
      <c r="B34" s="31" t="s">
        <v>60</v>
      </c>
      <c r="G34" s="21"/>
      <c r="H34" s="21"/>
      <c r="I34" s="34">
        <v>5.931253530734093E-3</v>
      </c>
      <c r="J34" s="34">
        <v>3.1506982769592407E-3</v>
      </c>
      <c r="K34" s="34">
        <v>6.206856574910824E-3</v>
      </c>
      <c r="L34" s="34">
        <v>-6.4656650813474936E-3</v>
      </c>
      <c r="M34" s="34">
        <v>-2.9141447178988589E-3</v>
      </c>
      <c r="N34" s="34">
        <v>-4.5563279395284262E-3</v>
      </c>
      <c r="O34" s="34">
        <v>-4.4899674567346892E-3</v>
      </c>
      <c r="P34" s="34">
        <v>-1.3574560068802644E-2</v>
      </c>
      <c r="Q34" s="34">
        <v>-1.0152978689008885E-2</v>
      </c>
      <c r="R34" s="34">
        <v>-1.4521140818795519E-2</v>
      </c>
      <c r="S34" s="34">
        <v>-1.5221332292895129E-2</v>
      </c>
      <c r="T34" s="34">
        <v>-1.9798871842477972E-2</v>
      </c>
      <c r="U34" s="34">
        <v>-5.7268654287185861E-3</v>
      </c>
      <c r="V34" s="34">
        <v>-1.1878283696461489E-2</v>
      </c>
      <c r="W34" s="34">
        <v>-4.2841530777244508E-3</v>
      </c>
      <c r="X34" s="34">
        <v>1.1835291172226259E-2</v>
      </c>
      <c r="Y34" s="34">
        <v>8.9970129635209561E-3</v>
      </c>
      <c r="Z34" s="34">
        <v>4.8718787195737301E-3</v>
      </c>
      <c r="AA34" s="34">
        <v>6.9657160907515836E-3</v>
      </c>
      <c r="AB34" s="34">
        <v>7.7295762121835088E-3</v>
      </c>
      <c r="AC34" s="34">
        <v>1.2009511974437337E-2</v>
      </c>
      <c r="AD34" s="34">
        <v>1.4868630961306306E-2</v>
      </c>
      <c r="AE34" s="34">
        <v>1.4238366435281868E-2</v>
      </c>
      <c r="AF34" s="34">
        <v>1.9790738904077898E-2</v>
      </c>
      <c r="AG34" s="34">
        <v>3.1217562219209349E-2</v>
      </c>
      <c r="AH34" s="34">
        <v>3.2428616885892714E-2</v>
      </c>
      <c r="AI34" s="34">
        <v>3.2920494232732356E-2</v>
      </c>
      <c r="AJ34" s="34">
        <v>1.4168841776726504E-2</v>
      </c>
      <c r="AK34" s="34">
        <v>2.3990696142560552E-2</v>
      </c>
      <c r="AL34" s="34">
        <v>2.8866752850385646E-2</v>
      </c>
      <c r="AM34" s="34">
        <v>2.419864026195917E-2</v>
      </c>
      <c r="AN34" s="34">
        <v>2.3136310669814364E-2</v>
      </c>
      <c r="AO34" s="34">
        <v>2.4291650306181078E-2</v>
      </c>
      <c r="AP34" s="34">
        <v>2.2411048348855545E-2</v>
      </c>
      <c r="AQ34" s="34">
        <v>2.228314618886551E-2</v>
      </c>
      <c r="AR34" s="34">
        <v>2.7169325239012942E-2</v>
      </c>
      <c r="AS34" s="34">
        <v>1.847873029834679E-2</v>
      </c>
      <c r="AT34" s="34">
        <v>1.9844295546664004E-2</v>
      </c>
      <c r="AU34" s="34">
        <v>1.2549213909568091E-2</v>
      </c>
      <c r="AV34" s="34">
        <v>1.0814167357470761E-2</v>
      </c>
      <c r="AW34" s="34">
        <v>6.1026709073304097E-3</v>
      </c>
      <c r="AX34" s="34">
        <v>6.1544775255444328E-3</v>
      </c>
      <c r="AY34" s="34">
        <v>1.1634479138719511E-2</v>
      </c>
      <c r="AZ34" s="34">
        <v>1.1542912660665317E-2</v>
      </c>
      <c r="BA34" s="34">
        <v>1.0321230182240626E-2</v>
      </c>
      <c r="BB34" s="34">
        <v>9.0988129412941099E-3</v>
      </c>
      <c r="BC34" s="34">
        <v>6.8677917346812167E-3</v>
      </c>
      <c r="BD34" s="34">
        <v>4.4028507253248694E-3</v>
      </c>
      <c r="BE34" s="34">
        <v>9.006252927033831E-3</v>
      </c>
      <c r="BF34" s="34">
        <v>1.0286768159689874E-2</v>
      </c>
      <c r="BG34" s="34">
        <v>1.2761683449087124E-2</v>
      </c>
      <c r="BH34" s="34">
        <v>1.134008765994643E-2</v>
      </c>
      <c r="BI34" s="34">
        <v>1.1670555409917238E-2</v>
      </c>
      <c r="BJ34" s="34">
        <v>9.0551141791825884E-3</v>
      </c>
      <c r="BK34" s="34">
        <v>7.9127360322427398E-3</v>
      </c>
      <c r="BL34" s="34">
        <v>6.2124582101207304E-3</v>
      </c>
      <c r="BM34" s="34">
        <v>4.603452417169196E-3</v>
      </c>
      <c r="BN34" s="34">
        <v>4.6514401773853908E-3</v>
      </c>
      <c r="BO34" s="34">
        <v>4.1746676532045113E-3</v>
      </c>
      <c r="BP34" s="34">
        <v>7.7856196722680959E-4</v>
      </c>
      <c r="BQ34" s="34">
        <v>-7.0466685336301182E-4</v>
      </c>
      <c r="BR34" s="34">
        <v>-5.8275117971304802E-3</v>
      </c>
      <c r="BS34" s="34">
        <v>-7.3848831545328952E-3</v>
      </c>
      <c r="BT34" s="34">
        <v>-8.2374500418906926E-3</v>
      </c>
      <c r="BU34" s="34">
        <v>-9.4539715520616241E-3</v>
      </c>
      <c r="BV34" s="34">
        <v>-7.3256955812937008E-3</v>
      </c>
      <c r="BW34" s="34">
        <v>-9.4709874334084621E-3</v>
      </c>
      <c r="BX34" s="34">
        <v>-8.481497498133983E-3</v>
      </c>
      <c r="BY34" s="34">
        <v>-1.1547447155470403E-2</v>
      </c>
      <c r="BZ34" s="34">
        <v>-1.3748511071874914E-2</v>
      </c>
      <c r="CA34" s="34">
        <v>-1.3678545526276897E-2</v>
      </c>
      <c r="CB34" s="34">
        <v>-2.774956117354499E-2</v>
      </c>
      <c r="CC34" s="34">
        <v>-3.0423314077004937E-2</v>
      </c>
      <c r="CD34" s="34">
        <v>-2.7349579928055201E-2</v>
      </c>
      <c r="CE34" s="34">
        <v>-2.7900336005500126E-2</v>
      </c>
      <c r="CF34" s="34">
        <v>-2.6700907155564169E-2</v>
      </c>
      <c r="CG34" s="34">
        <v>-2.2558066387982523E-2</v>
      </c>
      <c r="CH34" s="34">
        <v>-2.2731670931478654E-2</v>
      </c>
      <c r="CI34" s="34">
        <v>-2.1081235478505489E-2</v>
      </c>
      <c r="CJ34" s="34">
        <v>-1.8251843848113625E-2</v>
      </c>
      <c r="CK34" s="34">
        <v>-1.9081020679140526E-2</v>
      </c>
      <c r="CL34" s="34">
        <v>-1.5464287336979021E-2</v>
      </c>
      <c r="CM34" s="34">
        <v>-1.3791159010621223E-2</v>
      </c>
      <c r="CN34" s="34">
        <v>-1.8924757953560079E-3</v>
      </c>
      <c r="CO34" s="34">
        <v>-3.2813458483293978E-4</v>
      </c>
      <c r="CP34" s="34">
        <v>-1.3447747944461685E-3</v>
      </c>
      <c r="CQ34" s="34">
        <v>-2.0764068471004204E-3</v>
      </c>
      <c r="CR34" s="34">
        <v>-1.826372339936988E-3</v>
      </c>
    </row>
    <row r="35" spans="2:96" ht="17.45" customHeight="1">
      <c r="B35" s="31" t="s">
        <v>61</v>
      </c>
      <c r="G35" s="21"/>
      <c r="H35" s="21"/>
      <c r="BE35" s="34">
        <v>0.24993498238692813</v>
      </c>
      <c r="BF35" s="34">
        <v>0.22108116962059321</v>
      </c>
      <c r="BG35" s="34">
        <v>1.7372799076484702E-2</v>
      </c>
      <c r="BH35" s="34">
        <v>2.2861716746865435E-2</v>
      </c>
      <c r="BI35" s="34">
        <v>-4.3984240378195372E-2</v>
      </c>
      <c r="BJ35" s="34">
        <v>6.8309122670708877E-3</v>
      </c>
      <c r="BK35" s="34">
        <v>8.4309103601876378E-2</v>
      </c>
      <c r="BL35" s="34">
        <v>2.4792112838660785E-2</v>
      </c>
      <c r="BM35" s="34">
        <v>6.2548438475441337E-2</v>
      </c>
      <c r="BN35" s="34">
        <v>1.0520402509305304E-2</v>
      </c>
      <c r="BO35" s="34">
        <v>5.3298837443495728E-2</v>
      </c>
      <c r="BP35" s="34">
        <v>-1.3919666336268066E-2</v>
      </c>
      <c r="BQ35" s="34">
        <v>1.3341127223122307E-2</v>
      </c>
      <c r="BR35" s="34">
        <v>-1.2057735071060782E-2</v>
      </c>
      <c r="BS35" s="34">
        <v>9.7344540728723894E-2</v>
      </c>
      <c r="BT35" s="34">
        <v>-9.8077702304521952E-2</v>
      </c>
      <c r="BU35" s="34">
        <v>0.14471285147617485</v>
      </c>
      <c r="BV35" s="34">
        <v>3.761422376447765E-2</v>
      </c>
      <c r="BW35" s="34">
        <v>8.3277473135735747E-2</v>
      </c>
      <c r="BX35" s="34">
        <v>8.7111525649240074E-2</v>
      </c>
      <c r="BY35" s="34">
        <v>-4.8499575818322649E-3</v>
      </c>
      <c r="BZ35" s="34">
        <v>1.583814126275418E-2</v>
      </c>
      <c r="CA35" s="34">
        <v>0.144258558606156</v>
      </c>
      <c r="CB35" s="34">
        <v>0.14228361307224824</v>
      </c>
      <c r="CC35" s="34">
        <v>0.82022407535175401</v>
      </c>
      <c r="CD35" s="34">
        <v>1.0209081389026999</v>
      </c>
      <c r="CE35" s="34">
        <v>0.52492830041504823</v>
      </c>
      <c r="CF35" s="34">
        <v>0.35601978407827595</v>
      </c>
      <c r="CG35" s="34">
        <v>4.4886489828933618E-2</v>
      </c>
      <c r="CH35" s="34">
        <v>0.10511135973963093</v>
      </c>
      <c r="CI35" s="34">
        <v>-3.4418357605644601E-2</v>
      </c>
      <c r="CJ35" s="34">
        <v>5.8750907863559299E-2</v>
      </c>
      <c r="CK35" s="34">
        <v>3.6601997745240755E-2</v>
      </c>
      <c r="CL35" s="34">
        <v>7.7508145088335256E-2</v>
      </c>
      <c r="CM35" s="34">
        <v>7.3174665000754757E-3</v>
      </c>
      <c r="CN35" s="34">
        <v>-1.6542615679796424E-2</v>
      </c>
      <c r="CO35" s="34">
        <v>-0.26823125947975734</v>
      </c>
      <c r="CP35" s="34">
        <v>-0.31169639461182863</v>
      </c>
      <c r="CQ35" s="34">
        <v>-0.21097532518942286</v>
      </c>
      <c r="CR35" s="34">
        <v>-0.11113516812369284</v>
      </c>
    </row>
    <row r="36" spans="2:96" ht="17.45" customHeight="1">
      <c r="B36" s="87" t="s">
        <v>62</v>
      </c>
      <c r="C36" s="87"/>
      <c r="D36" s="87"/>
      <c r="E36" s="87"/>
      <c r="F36" s="87"/>
      <c r="G36" s="21"/>
      <c r="H36" s="21"/>
    </row>
    <row r="37" spans="2:96" ht="17.45" customHeight="1">
      <c r="B37" s="87"/>
      <c r="C37" s="87"/>
      <c r="D37" s="87"/>
      <c r="E37" s="87"/>
      <c r="F37" s="87"/>
      <c r="BB37" s="78"/>
    </row>
  </sheetData>
  <mergeCells count="1">
    <mergeCell ref="B36:F37"/>
  </mergeCells>
  <pageMargins left="0.7" right="0.7" top="0.75" bottom="0.75" header="0.3" footer="0.3"/>
  <pageSetup paperSize="9" orientation="portrait" horizontalDpi="300" verticalDpi="300" r:id="rId1"/>
  <ignoredErrors>
    <ignoredError sqref="CU7 CT8:CV8 CT9:CT10 CV9:CV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3"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2026-06-12T22:07:44Z</dcterms:modified>
</cp:coreProperties>
</file>